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4.xml" ContentType="application/vnd.openxmlformats-officedocument.drawing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drawings/drawing5.xml" ContentType="application/vnd.openxmlformats-officedocument.drawing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drawings/drawing6.xml" ContentType="application/vnd.openxmlformats-officedocument.drawing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drawings/drawing7.xml" ContentType="application/vnd.openxmlformats-officedocument.drawing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drawings/drawing8.xml" ContentType="application/vnd.openxmlformats-officedocument.drawing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drawings/drawing9.xml" ContentType="application/vnd.openxmlformats-officedocument.drawing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drawings/drawing10.xml" ContentType="application/vnd.openxmlformats-officedocument.drawing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drawings/drawing11.xml" ContentType="application/vnd.openxmlformats-officedocument.drawing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novo\OneDrive\Documents\@folder dinda\@SKRIPSI (1)\spk penilaian kinerja karyawan (1)\perhitungan dan data skripsi\"/>
    </mc:Choice>
  </mc:AlternateContent>
  <bookViews>
    <workbookView xWindow="0" yWindow="0" windowWidth="19200" windowHeight="6936"/>
  </bookViews>
  <sheets>
    <sheet name="NILAI KRITERIA" sheetId="1" r:id="rId1"/>
    <sheet name="Leadership" sheetId="2" r:id="rId2"/>
    <sheet name="Productivity" sheetId="3" r:id="rId3"/>
    <sheet name="Kemampuan pemecahan masalah" sheetId="4" r:id="rId4"/>
    <sheet name="Realisasi SOPSPK" sheetId="5" r:id="rId5"/>
    <sheet name="Dokumentasi" sheetId="6" r:id="rId6"/>
    <sheet name="Pelaksanaan 5R" sheetId="7" r:id="rId7"/>
    <sheet name="Pelaksanaan K3" sheetId="8" r:id="rId8"/>
    <sheet name="Kehadiran" sheetId="9" r:id="rId9"/>
    <sheet name="Kedisipilinan" sheetId="10" r:id="rId10"/>
    <sheet name="Inisiatif" sheetId="11" r:id="rId11"/>
  </sheets>
  <externalReferences>
    <externalReference r:id="rId12"/>
    <externalReference r:id="rId13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32" i="1" l="1"/>
  <c r="M132" i="1"/>
  <c r="M116" i="1"/>
  <c r="M117" i="1"/>
  <c r="M118" i="1"/>
  <c r="M119" i="1"/>
  <c r="N119" i="1" s="1"/>
  <c r="M120" i="1"/>
  <c r="M121" i="1"/>
  <c r="M122" i="1"/>
  <c r="M123" i="1"/>
  <c r="N123" i="1" s="1"/>
  <c r="M124" i="1"/>
  <c r="M125" i="1"/>
  <c r="M126" i="1"/>
  <c r="M127" i="1"/>
  <c r="N127" i="1" s="1"/>
  <c r="M128" i="1"/>
  <c r="M129" i="1"/>
  <c r="M130" i="1"/>
  <c r="M131" i="1"/>
  <c r="N131" i="1" s="1"/>
  <c r="M115" i="1"/>
  <c r="N115" i="1" s="1"/>
  <c r="N116" i="1"/>
  <c r="N117" i="1"/>
  <c r="N118" i="1"/>
  <c r="N120" i="1"/>
  <c r="N121" i="1"/>
  <c r="N122" i="1"/>
  <c r="N124" i="1"/>
  <c r="N125" i="1"/>
  <c r="N126" i="1"/>
  <c r="N128" i="1"/>
  <c r="N129" i="1"/>
  <c r="N130" i="1"/>
  <c r="L132" i="1" l="1"/>
  <c r="L131" i="1"/>
  <c r="L130" i="1"/>
  <c r="L129" i="1"/>
  <c r="L128" i="1"/>
  <c r="L127" i="1"/>
  <c r="L126" i="1"/>
  <c r="L125" i="1"/>
  <c r="L124" i="1"/>
  <c r="O124" i="1"/>
  <c r="L123" i="1"/>
  <c r="L122" i="1"/>
  <c r="L121" i="1"/>
  <c r="L120" i="1"/>
  <c r="L119" i="1"/>
  <c r="L118" i="1"/>
  <c r="L117" i="1"/>
  <c r="L116" i="1"/>
  <c r="L115" i="1"/>
  <c r="K132" i="1"/>
  <c r="K131" i="1"/>
  <c r="K130" i="1"/>
  <c r="K129" i="1"/>
  <c r="K128" i="1"/>
  <c r="K127" i="1"/>
  <c r="K126" i="1"/>
  <c r="K125" i="1"/>
  <c r="K124" i="1"/>
  <c r="K123" i="1"/>
  <c r="K122" i="1"/>
  <c r="K119" i="1"/>
  <c r="K121" i="1"/>
  <c r="K120" i="1"/>
  <c r="K118" i="1"/>
  <c r="K115" i="1"/>
  <c r="K117" i="1"/>
  <c r="K116" i="1"/>
  <c r="O118" i="1"/>
  <c r="O119" i="1"/>
  <c r="O122" i="1"/>
  <c r="O123" i="1"/>
  <c r="O131" i="1"/>
  <c r="J132" i="1"/>
  <c r="J130" i="1"/>
  <c r="J131" i="1"/>
  <c r="J129" i="1"/>
  <c r="J127" i="1"/>
  <c r="J128" i="1"/>
  <c r="O128" i="1" s="1"/>
  <c r="J126" i="1"/>
  <c r="J125" i="1"/>
  <c r="J124" i="1"/>
  <c r="J123" i="1"/>
  <c r="J122" i="1"/>
  <c r="J121" i="1"/>
  <c r="J120" i="1"/>
  <c r="O120" i="1" s="1"/>
  <c r="J119" i="1"/>
  <c r="J118" i="1"/>
  <c r="J115" i="1"/>
  <c r="J117" i="1"/>
  <c r="J116" i="1"/>
  <c r="O116" i="1" s="1"/>
  <c r="I132" i="1"/>
  <c r="I131" i="1"/>
  <c r="I130" i="1"/>
  <c r="O130" i="1" s="1"/>
  <c r="I129" i="1"/>
  <c r="I128" i="1"/>
  <c r="I127" i="1"/>
  <c r="I126" i="1"/>
  <c r="O126" i="1" s="1"/>
  <c r="I125" i="1"/>
  <c r="I124" i="1"/>
  <c r="I123" i="1"/>
  <c r="I121" i="1"/>
  <c r="I120" i="1"/>
  <c r="I119" i="1"/>
  <c r="I118" i="1"/>
  <c r="I117" i="1"/>
  <c r="I116" i="1"/>
  <c r="I122" i="1"/>
  <c r="I115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O117" i="1"/>
  <c r="O121" i="1"/>
  <c r="O125" i="1"/>
  <c r="O129" i="1"/>
  <c r="O132" i="1"/>
  <c r="G132" i="1"/>
  <c r="G131" i="1"/>
  <c r="G130" i="1"/>
  <c r="G129" i="1"/>
  <c r="G128" i="1"/>
  <c r="G127" i="1"/>
  <c r="G126" i="1"/>
  <c r="G125" i="1"/>
  <c r="G124" i="1"/>
  <c r="G122" i="1"/>
  <c r="G123" i="1"/>
  <c r="G121" i="1"/>
  <c r="G120" i="1"/>
  <c r="G119" i="1"/>
  <c r="G118" i="1"/>
  <c r="G117" i="1"/>
  <c r="G116" i="1"/>
  <c r="G115" i="1"/>
  <c r="F132" i="1"/>
  <c r="F131" i="1"/>
  <c r="F130" i="1"/>
  <c r="F129" i="1"/>
  <c r="F115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E116" i="1"/>
  <c r="E131" i="1"/>
  <c r="E130" i="1"/>
  <c r="E129" i="1"/>
  <c r="E132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5" i="1"/>
  <c r="D132" i="1"/>
  <c r="D127" i="1"/>
  <c r="D117" i="1"/>
  <c r="D131" i="1"/>
  <c r="D130" i="1"/>
  <c r="D129" i="1"/>
  <c r="D128" i="1"/>
  <c r="D126" i="1"/>
  <c r="D124" i="1"/>
  <c r="D125" i="1"/>
  <c r="D123" i="1"/>
  <c r="D122" i="1"/>
  <c r="D115" i="1"/>
  <c r="D121" i="1"/>
  <c r="D118" i="1"/>
  <c r="D120" i="1"/>
  <c r="D119" i="1"/>
  <c r="D116" i="1"/>
  <c r="C132" i="1"/>
  <c r="C127" i="1"/>
  <c r="C130" i="1"/>
  <c r="C129" i="1"/>
  <c r="C128" i="1"/>
  <c r="C115" i="1"/>
  <c r="C117" i="1"/>
  <c r="C126" i="1"/>
  <c r="C125" i="1"/>
  <c r="C124" i="1"/>
  <c r="C123" i="1"/>
  <c r="C122" i="1"/>
  <c r="C119" i="1"/>
  <c r="C120" i="1"/>
  <c r="C121" i="1"/>
  <c r="C116" i="1"/>
  <c r="C118" i="1"/>
  <c r="C131" i="1"/>
  <c r="B90" i="1"/>
  <c r="C90" i="1"/>
  <c r="D90" i="1"/>
  <c r="D91" i="1"/>
  <c r="E91" i="1"/>
  <c r="F91" i="1"/>
  <c r="G91" i="1"/>
  <c r="H91" i="1"/>
  <c r="I91" i="1"/>
  <c r="J91" i="1"/>
  <c r="K91" i="1"/>
  <c r="L91" i="1"/>
  <c r="M91" i="1"/>
  <c r="B92" i="1"/>
  <c r="C92" i="1"/>
  <c r="D92" i="1"/>
  <c r="E92" i="1"/>
  <c r="F92" i="1"/>
  <c r="G92" i="1"/>
  <c r="H92" i="1"/>
  <c r="I92" i="1"/>
  <c r="J92" i="1"/>
  <c r="K92" i="1"/>
  <c r="L92" i="1"/>
  <c r="M92" i="1"/>
  <c r="B93" i="1"/>
  <c r="C93" i="1"/>
  <c r="D93" i="1"/>
  <c r="E93" i="1"/>
  <c r="F93" i="1"/>
  <c r="G93" i="1"/>
  <c r="H93" i="1"/>
  <c r="I93" i="1"/>
  <c r="J93" i="1"/>
  <c r="K93" i="1"/>
  <c r="L93" i="1"/>
  <c r="M93" i="1"/>
  <c r="B94" i="1"/>
  <c r="C94" i="1"/>
  <c r="D94" i="1"/>
  <c r="E94" i="1"/>
  <c r="F94" i="1"/>
  <c r="G94" i="1"/>
  <c r="H94" i="1"/>
  <c r="I94" i="1"/>
  <c r="J94" i="1"/>
  <c r="K94" i="1"/>
  <c r="L94" i="1"/>
  <c r="M94" i="1"/>
  <c r="B95" i="1"/>
  <c r="C95" i="1"/>
  <c r="D95" i="1"/>
  <c r="E95" i="1"/>
  <c r="F95" i="1"/>
  <c r="G95" i="1"/>
  <c r="H95" i="1"/>
  <c r="I95" i="1"/>
  <c r="J95" i="1"/>
  <c r="K95" i="1"/>
  <c r="L95" i="1"/>
  <c r="M95" i="1"/>
  <c r="B96" i="1"/>
  <c r="C96" i="1"/>
  <c r="D96" i="1"/>
  <c r="E96" i="1"/>
  <c r="F96" i="1"/>
  <c r="G96" i="1"/>
  <c r="H96" i="1"/>
  <c r="I96" i="1"/>
  <c r="J96" i="1"/>
  <c r="K96" i="1"/>
  <c r="L96" i="1"/>
  <c r="M96" i="1"/>
  <c r="B97" i="1"/>
  <c r="C97" i="1"/>
  <c r="D97" i="1"/>
  <c r="E97" i="1"/>
  <c r="F97" i="1"/>
  <c r="G97" i="1"/>
  <c r="H97" i="1"/>
  <c r="I97" i="1"/>
  <c r="J97" i="1"/>
  <c r="K97" i="1"/>
  <c r="L97" i="1"/>
  <c r="M97" i="1"/>
  <c r="B98" i="1"/>
  <c r="C98" i="1"/>
  <c r="D98" i="1"/>
  <c r="E98" i="1"/>
  <c r="F98" i="1"/>
  <c r="G98" i="1"/>
  <c r="H98" i="1"/>
  <c r="I98" i="1"/>
  <c r="J98" i="1"/>
  <c r="K98" i="1"/>
  <c r="L98" i="1"/>
  <c r="M98" i="1"/>
  <c r="B99" i="1"/>
  <c r="C99" i="1"/>
  <c r="D99" i="1"/>
  <c r="E99" i="1"/>
  <c r="F99" i="1"/>
  <c r="G99" i="1"/>
  <c r="H99" i="1"/>
  <c r="I99" i="1"/>
  <c r="J99" i="1"/>
  <c r="K99" i="1"/>
  <c r="L99" i="1"/>
  <c r="M99" i="1"/>
  <c r="B100" i="1"/>
  <c r="C100" i="1"/>
  <c r="D100" i="1"/>
  <c r="E100" i="1"/>
  <c r="F100" i="1"/>
  <c r="G100" i="1"/>
  <c r="H100" i="1"/>
  <c r="I100" i="1"/>
  <c r="J100" i="1"/>
  <c r="K100" i="1"/>
  <c r="L100" i="1"/>
  <c r="M100" i="1"/>
  <c r="B101" i="1"/>
  <c r="C101" i="1"/>
  <c r="D101" i="1"/>
  <c r="E101" i="1"/>
  <c r="F101" i="1"/>
  <c r="G101" i="1"/>
  <c r="H101" i="1"/>
  <c r="I101" i="1"/>
  <c r="J101" i="1"/>
  <c r="K101" i="1"/>
  <c r="L101" i="1"/>
  <c r="M101" i="1"/>
  <c r="B102" i="1"/>
  <c r="C102" i="1"/>
  <c r="D102" i="1"/>
  <c r="E102" i="1"/>
  <c r="F102" i="1"/>
  <c r="G102" i="1"/>
  <c r="H102" i="1"/>
  <c r="I102" i="1"/>
  <c r="J102" i="1"/>
  <c r="K102" i="1"/>
  <c r="L102" i="1"/>
  <c r="M102" i="1"/>
  <c r="B103" i="1"/>
  <c r="C103" i="1"/>
  <c r="D103" i="1"/>
  <c r="E103" i="1"/>
  <c r="F103" i="1"/>
  <c r="G103" i="1"/>
  <c r="H103" i="1"/>
  <c r="I103" i="1"/>
  <c r="J103" i="1"/>
  <c r="K103" i="1"/>
  <c r="L103" i="1"/>
  <c r="M103" i="1"/>
  <c r="B104" i="1"/>
  <c r="C104" i="1"/>
  <c r="D104" i="1"/>
  <c r="E104" i="1"/>
  <c r="F104" i="1"/>
  <c r="G104" i="1"/>
  <c r="H104" i="1"/>
  <c r="I104" i="1"/>
  <c r="J104" i="1"/>
  <c r="K104" i="1"/>
  <c r="L104" i="1"/>
  <c r="M104" i="1"/>
  <c r="B105" i="1"/>
  <c r="C105" i="1"/>
  <c r="D105" i="1"/>
  <c r="E105" i="1"/>
  <c r="F105" i="1"/>
  <c r="G105" i="1"/>
  <c r="H105" i="1"/>
  <c r="I105" i="1"/>
  <c r="J105" i="1"/>
  <c r="K105" i="1"/>
  <c r="L105" i="1"/>
  <c r="M105" i="1"/>
  <c r="B106" i="1"/>
  <c r="C106" i="1"/>
  <c r="D106" i="1"/>
  <c r="E106" i="1"/>
  <c r="F106" i="1"/>
  <c r="G106" i="1"/>
  <c r="H106" i="1"/>
  <c r="I106" i="1"/>
  <c r="J106" i="1"/>
  <c r="K106" i="1"/>
  <c r="L106" i="1"/>
  <c r="M106" i="1"/>
  <c r="B107" i="1"/>
  <c r="C107" i="1"/>
  <c r="D107" i="1"/>
  <c r="E107" i="1"/>
  <c r="F107" i="1"/>
  <c r="G107" i="1"/>
  <c r="H107" i="1"/>
  <c r="I107" i="1"/>
  <c r="J107" i="1"/>
  <c r="K107" i="1"/>
  <c r="L107" i="1"/>
  <c r="M107" i="1"/>
  <c r="B108" i="1"/>
  <c r="C108" i="1"/>
  <c r="D108" i="1"/>
  <c r="E108" i="1"/>
  <c r="F108" i="1"/>
  <c r="G108" i="1"/>
  <c r="H108" i="1"/>
  <c r="I108" i="1"/>
  <c r="J108" i="1"/>
  <c r="K108" i="1"/>
  <c r="L108" i="1"/>
  <c r="M108" i="1"/>
  <c r="B109" i="1"/>
  <c r="C109" i="1"/>
  <c r="D109" i="1"/>
  <c r="E109" i="1"/>
  <c r="F109" i="1"/>
  <c r="G109" i="1"/>
  <c r="H109" i="1"/>
  <c r="I109" i="1"/>
  <c r="J109" i="1"/>
  <c r="K109" i="1"/>
  <c r="L109" i="1"/>
  <c r="M109" i="1"/>
  <c r="O127" i="1" l="1"/>
  <c r="C22" i="4" l="1"/>
  <c r="F23" i="4"/>
  <c r="F32" i="4" s="1"/>
  <c r="E23" i="4"/>
  <c r="E31" i="4" s="1"/>
  <c r="E22" i="4"/>
  <c r="E33" i="4" s="1"/>
  <c r="D22" i="4"/>
  <c r="C33" i="4"/>
  <c r="D21" i="4"/>
  <c r="D23" i="4" s="1"/>
  <c r="C21" i="4"/>
  <c r="C20" i="4"/>
  <c r="C23" i="4" s="1"/>
  <c r="F31" i="2"/>
  <c r="F23" i="2"/>
  <c r="F32" i="2" s="1"/>
  <c r="E23" i="2"/>
  <c r="E31" i="2" s="1"/>
  <c r="E22" i="2"/>
  <c r="E33" i="2" s="1"/>
  <c r="D22" i="2"/>
  <c r="D23" i="2" s="1"/>
  <c r="C22" i="2"/>
  <c r="C33" i="2" s="1"/>
  <c r="D21" i="2"/>
  <c r="D32" i="2" s="1"/>
  <c r="C21" i="2"/>
  <c r="C20" i="2"/>
  <c r="C23" i="2" s="1"/>
  <c r="F31" i="11"/>
  <c r="F23" i="11"/>
  <c r="F32" i="11" s="1"/>
  <c r="E23" i="11"/>
  <c r="E31" i="11" s="1"/>
  <c r="E22" i="11"/>
  <c r="E33" i="11" s="1"/>
  <c r="D22" i="11"/>
  <c r="C22" i="11"/>
  <c r="C33" i="11" s="1"/>
  <c r="D21" i="11"/>
  <c r="D23" i="11" s="1"/>
  <c r="C21" i="11"/>
  <c r="C20" i="11"/>
  <c r="C23" i="11" s="1"/>
  <c r="E30" i="10"/>
  <c r="E29" i="10"/>
  <c r="E22" i="10"/>
  <c r="E31" i="10" s="1"/>
  <c r="D21" i="10"/>
  <c r="D22" i="10" s="1"/>
  <c r="C21" i="10"/>
  <c r="C20" i="10"/>
  <c r="J44" i="9"/>
  <c r="I43" i="9"/>
  <c r="J40" i="9"/>
  <c r="I39" i="9"/>
  <c r="J38" i="9"/>
  <c r="J28" i="9"/>
  <c r="I28" i="9"/>
  <c r="I40" i="9" s="1"/>
  <c r="G28" i="9"/>
  <c r="G38" i="9" s="1"/>
  <c r="I27" i="9"/>
  <c r="I44" i="9" s="1"/>
  <c r="H27" i="9"/>
  <c r="G27" i="9"/>
  <c r="G44" i="9" s="1"/>
  <c r="F27" i="9"/>
  <c r="E27" i="9"/>
  <c r="D27" i="9"/>
  <c r="C27" i="9"/>
  <c r="H26" i="9"/>
  <c r="G26" i="9"/>
  <c r="G43" i="9" s="1"/>
  <c r="F26" i="9"/>
  <c r="E26" i="9"/>
  <c r="D26" i="9"/>
  <c r="C26" i="9"/>
  <c r="G25" i="9"/>
  <c r="G42" i="9" s="1"/>
  <c r="F25" i="9"/>
  <c r="E25" i="9"/>
  <c r="D25" i="9"/>
  <c r="C25" i="9"/>
  <c r="F24" i="9"/>
  <c r="E24" i="9"/>
  <c r="D24" i="9"/>
  <c r="C24" i="9"/>
  <c r="E23" i="9"/>
  <c r="D23" i="9"/>
  <c r="C23" i="9"/>
  <c r="D22" i="9"/>
  <c r="C22" i="9"/>
  <c r="C21" i="9"/>
  <c r="E30" i="8"/>
  <c r="E29" i="8"/>
  <c r="E22" i="8"/>
  <c r="E31" i="8" s="1"/>
  <c r="D21" i="8"/>
  <c r="D22" i="8" s="1"/>
  <c r="C21" i="8"/>
  <c r="C20" i="8"/>
  <c r="E30" i="7"/>
  <c r="E29" i="7"/>
  <c r="E22" i="7"/>
  <c r="E31" i="7" s="1"/>
  <c r="D21" i="7"/>
  <c r="D22" i="7" s="1"/>
  <c r="C21" i="7"/>
  <c r="C20" i="7"/>
  <c r="F31" i="6"/>
  <c r="F23" i="6"/>
  <c r="F32" i="6" s="1"/>
  <c r="E23" i="6"/>
  <c r="E31" i="6" s="1"/>
  <c r="E22" i="6"/>
  <c r="E33" i="6" s="1"/>
  <c r="D22" i="6"/>
  <c r="C22" i="6"/>
  <c r="C33" i="6" s="1"/>
  <c r="D21" i="6"/>
  <c r="D23" i="6" s="1"/>
  <c r="C21" i="6"/>
  <c r="C20" i="6"/>
  <c r="C23" i="6" s="1"/>
  <c r="F31" i="5"/>
  <c r="F23" i="5"/>
  <c r="F32" i="5" s="1"/>
  <c r="E23" i="5"/>
  <c r="E31" i="5" s="1"/>
  <c r="E22" i="5"/>
  <c r="E33" i="5" s="1"/>
  <c r="D22" i="5"/>
  <c r="C22" i="5"/>
  <c r="C33" i="5" s="1"/>
  <c r="D21" i="5"/>
  <c r="D23" i="5" s="1"/>
  <c r="C21" i="5"/>
  <c r="C20" i="5"/>
  <c r="C23" i="5" s="1"/>
  <c r="F32" i="3"/>
  <c r="F23" i="3"/>
  <c r="F33" i="3" s="1"/>
  <c r="E22" i="3"/>
  <c r="D22" i="3"/>
  <c r="D23" i="3" s="1"/>
  <c r="C22" i="3"/>
  <c r="D21" i="3"/>
  <c r="C21" i="3"/>
  <c r="C20" i="3"/>
  <c r="C23" i="3" s="1"/>
  <c r="F31" i="4" l="1"/>
  <c r="D30" i="4"/>
  <c r="D31" i="4"/>
  <c r="C30" i="4"/>
  <c r="C32" i="4"/>
  <c r="D33" i="4"/>
  <c r="F30" i="4"/>
  <c r="C31" i="4"/>
  <c r="G31" i="4" s="1"/>
  <c r="H31" i="4" s="1"/>
  <c r="I31" i="4" s="1"/>
  <c r="D32" i="4"/>
  <c r="E30" i="4"/>
  <c r="E32" i="4"/>
  <c r="F33" i="4"/>
  <c r="G33" i="4" s="1"/>
  <c r="H33" i="4" s="1"/>
  <c r="I33" i="4" s="1"/>
  <c r="C30" i="2"/>
  <c r="C32" i="2"/>
  <c r="D30" i="2"/>
  <c r="D31" i="2"/>
  <c r="F30" i="2"/>
  <c r="C31" i="2"/>
  <c r="G31" i="2" s="1"/>
  <c r="H31" i="2" s="1"/>
  <c r="I31" i="2" s="1"/>
  <c r="E30" i="2"/>
  <c r="E32" i="2"/>
  <c r="F33" i="2"/>
  <c r="D33" i="2"/>
  <c r="G33" i="2" s="1"/>
  <c r="H33" i="2" s="1"/>
  <c r="I33" i="2" s="1"/>
  <c r="D30" i="11"/>
  <c r="D31" i="11"/>
  <c r="C30" i="11"/>
  <c r="C32" i="11"/>
  <c r="D33" i="11"/>
  <c r="G33" i="11" s="1"/>
  <c r="H33" i="11" s="1"/>
  <c r="I33" i="11" s="1"/>
  <c r="F30" i="11"/>
  <c r="C31" i="11"/>
  <c r="G31" i="11" s="1"/>
  <c r="H31" i="11" s="1"/>
  <c r="I31" i="11" s="1"/>
  <c r="D32" i="11"/>
  <c r="E32" i="11"/>
  <c r="F33" i="11"/>
  <c r="E30" i="11"/>
  <c r="H30" i="10"/>
  <c r="D30" i="10"/>
  <c r="D29" i="10"/>
  <c r="C22" i="10"/>
  <c r="D31" i="10"/>
  <c r="H31" i="10"/>
  <c r="E40" i="9"/>
  <c r="E42" i="9"/>
  <c r="F43" i="9"/>
  <c r="H44" i="9"/>
  <c r="C28" i="9"/>
  <c r="D28" i="9"/>
  <c r="D39" i="9" s="1"/>
  <c r="H28" i="9"/>
  <c r="H43" i="9" s="1"/>
  <c r="I38" i="9"/>
  <c r="J39" i="9"/>
  <c r="G40" i="9"/>
  <c r="I42" i="9"/>
  <c r="J43" i="9"/>
  <c r="E28" i="9"/>
  <c r="I37" i="9"/>
  <c r="G39" i="9"/>
  <c r="I41" i="9"/>
  <c r="J42" i="9"/>
  <c r="G37" i="9"/>
  <c r="G41" i="9"/>
  <c r="F28" i="9"/>
  <c r="J37" i="9"/>
  <c r="J41" i="9"/>
  <c r="D30" i="8"/>
  <c r="D29" i="8"/>
  <c r="C30" i="8"/>
  <c r="F30" i="8" s="1"/>
  <c r="G30" i="8" s="1"/>
  <c r="H30" i="8" s="1"/>
  <c r="C22" i="8"/>
  <c r="D31" i="8"/>
  <c r="D30" i="7"/>
  <c r="D29" i="7"/>
  <c r="C30" i="7"/>
  <c r="F30" i="7" s="1"/>
  <c r="G30" i="7" s="1"/>
  <c r="H30" i="7" s="1"/>
  <c r="C22" i="7"/>
  <c r="D31" i="7"/>
  <c r="D30" i="6"/>
  <c r="D31" i="6"/>
  <c r="C30" i="6"/>
  <c r="C32" i="6"/>
  <c r="D33" i="6"/>
  <c r="G33" i="6" s="1"/>
  <c r="H33" i="6" s="1"/>
  <c r="I33" i="6" s="1"/>
  <c r="E30" i="6"/>
  <c r="F30" i="6"/>
  <c r="C31" i="6"/>
  <c r="G31" i="6" s="1"/>
  <c r="H31" i="6" s="1"/>
  <c r="I31" i="6" s="1"/>
  <c r="D32" i="6"/>
  <c r="E32" i="6"/>
  <c r="F33" i="6"/>
  <c r="D30" i="5"/>
  <c r="D31" i="5"/>
  <c r="C32" i="5"/>
  <c r="C30" i="5"/>
  <c r="D33" i="5"/>
  <c r="G33" i="5" s="1"/>
  <c r="H33" i="5" s="1"/>
  <c r="I33" i="5" s="1"/>
  <c r="F30" i="5"/>
  <c r="C31" i="5"/>
  <c r="G31" i="5" s="1"/>
  <c r="H31" i="5" s="1"/>
  <c r="I31" i="5" s="1"/>
  <c r="D32" i="5"/>
  <c r="E32" i="5"/>
  <c r="F33" i="5"/>
  <c r="E30" i="5"/>
  <c r="C30" i="3"/>
  <c r="D31" i="3"/>
  <c r="D32" i="3"/>
  <c r="D30" i="3"/>
  <c r="C32" i="3"/>
  <c r="E33" i="3"/>
  <c r="C33" i="3"/>
  <c r="E23" i="3"/>
  <c r="F31" i="3"/>
  <c r="D33" i="3"/>
  <c r="F30" i="3"/>
  <c r="C31" i="3"/>
  <c r="G32" i="4" l="1"/>
  <c r="H32" i="4" s="1"/>
  <c r="I32" i="4" s="1"/>
  <c r="G30" i="4"/>
  <c r="G32" i="2"/>
  <c r="H32" i="2" s="1"/>
  <c r="I32" i="2" s="1"/>
  <c r="G30" i="2"/>
  <c r="G32" i="11"/>
  <c r="H32" i="11" s="1"/>
  <c r="I32" i="11" s="1"/>
  <c r="G30" i="11"/>
  <c r="C31" i="10"/>
  <c r="F31" i="10" s="1"/>
  <c r="G31" i="10" s="1"/>
  <c r="C29" i="10"/>
  <c r="F29" i="10" s="1"/>
  <c r="H29" i="10"/>
  <c r="H32" i="10" s="1"/>
  <c r="C34" i="10" s="1"/>
  <c r="C36" i="10" s="1"/>
  <c r="D36" i="10" s="1"/>
  <c r="C30" i="10"/>
  <c r="F30" i="10" s="1"/>
  <c r="G30" i="10" s="1"/>
  <c r="D41" i="9"/>
  <c r="F37" i="9"/>
  <c r="F40" i="9"/>
  <c r="F38" i="9"/>
  <c r="F39" i="9"/>
  <c r="E45" i="9"/>
  <c r="E37" i="9"/>
  <c r="E38" i="9"/>
  <c r="E43" i="9"/>
  <c r="E39" i="9"/>
  <c r="C41" i="9"/>
  <c r="C37" i="9"/>
  <c r="C40" i="9"/>
  <c r="K40" i="9" s="1"/>
  <c r="L40" i="9" s="1"/>
  <c r="M40" i="9" s="1"/>
  <c r="C38" i="9"/>
  <c r="C44" i="9"/>
  <c r="C39" i="9"/>
  <c r="D42" i="9"/>
  <c r="D38" i="9"/>
  <c r="D45" i="9"/>
  <c r="D37" i="9"/>
  <c r="D40" i="9"/>
  <c r="E44" i="9"/>
  <c r="F44" i="9"/>
  <c r="F42" i="9"/>
  <c r="G45" i="9"/>
  <c r="H39" i="9"/>
  <c r="H40" i="9"/>
  <c r="H41" i="9"/>
  <c r="H37" i="9"/>
  <c r="H42" i="9"/>
  <c r="H38" i="9"/>
  <c r="C43" i="9"/>
  <c r="K43" i="9" s="1"/>
  <c r="L43" i="9" s="1"/>
  <c r="M43" i="9" s="1"/>
  <c r="D44" i="9"/>
  <c r="D43" i="9"/>
  <c r="C42" i="9"/>
  <c r="K42" i="9" s="1"/>
  <c r="L42" i="9" s="1"/>
  <c r="M42" i="9" s="1"/>
  <c r="F41" i="9"/>
  <c r="E41" i="9"/>
  <c r="C31" i="8"/>
  <c r="F31" i="8" s="1"/>
  <c r="G31" i="8" s="1"/>
  <c r="H31" i="8" s="1"/>
  <c r="C29" i="8"/>
  <c r="F29" i="8" s="1"/>
  <c r="C29" i="7"/>
  <c r="F29" i="7" s="1"/>
  <c r="C31" i="7"/>
  <c r="F31" i="7" s="1"/>
  <c r="G31" i="7" s="1"/>
  <c r="H31" i="7" s="1"/>
  <c r="G30" i="6"/>
  <c r="G32" i="6"/>
  <c r="H32" i="6" s="1"/>
  <c r="I32" i="6" s="1"/>
  <c r="G30" i="5"/>
  <c r="G32" i="5"/>
  <c r="H32" i="5" s="1"/>
  <c r="I32" i="5" s="1"/>
  <c r="E32" i="3"/>
  <c r="G32" i="3" s="1"/>
  <c r="H32" i="3" s="1"/>
  <c r="I32" i="3" s="1"/>
  <c r="E31" i="3"/>
  <c r="G31" i="3" s="1"/>
  <c r="H31" i="3" s="1"/>
  <c r="I31" i="3" s="1"/>
  <c r="E30" i="3"/>
  <c r="G33" i="3"/>
  <c r="H33" i="3" s="1"/>
  <c r="I33" i="3" s="1"/>
  <c r="G30" i="3"/>
  <c r="H30" i="4" l="1"/>
  <c r="G34" i="4"/>
  <c r="H30" i="2"/>
  <c r="G34" i="2"/>
  <c r="H30" i="11"/>
  <c r="G34" i="11"/>
  <c r="F32" i="10"/>
  <c r="G29" i="10"/>
  <c r="G32" i="10" s="1"/>
  <c r="K39" i="9"/>
  <c r="L39" i="9" s="1"/>
  <c r="M39" i="9" s="1"/>
  <c r="C45" i="9"/>
  <c r="K37" i="9"/>
  <c r="F45" i="9"/>
  <c r="H45" i="9"/>
  <c r="K44" i="9"/>
  <c r="L44" i="9" s="1"/>
  <c r="M44" i="9" s="1"/>
  <c r="K38" i="9"/>
  <c r="L38" i="9" s="1"/>
  <c r="M38" i="9" s="1"/>
  <c r="K41" i="9"/>
  <c r="L41" i="9" s="1"/>
  <c r="M41" i="9" s="1"/>
  <c r="G29" i="8"/>
  <c r="F32" i="8"/>
  <c r="F32" i="7"/>
  <c r="G29" i="7"/>
  <c r="H30" i="6"/>
  <c r="G34" i="6"/>
  <c r="H30" i="5"/>
  <c r="G34" i="5"/>
  <c r="G34" i="3"/>
  <c r="H30" i="3"/>
  <c r="H34" i="4" l="1"/>
  <c r="I30" i="4"/>
  <c r="I34" i="4" s="1"/>
  <c r="C36" i="4" s="1"/>
  <c r="C38" i="4" s="1"/>
  <c r="D38" i="4" s="1"/>
  <c r="H34" i="2"/>
  <c r="I30" i="2"/>
  <c r="I34" i="2" s="1"/>
  <c r="C36" i="2" s="1"/>
  <c r="C38" i="2" s="1"/>
  <c r="D38" i="2" s="1"/>
  <c r="H34" i="11"/>
  <c r="I30" i="11"/>
  <c r="I34" i="11" s="1"/>
  <c r="C36" i="11" s="1"/>
  <c r="C38" i="11" s="1"/>
  <c r="D38" i="11" s="1"/>
  <c r="K45" i="9"/>
  <c r="L37" i="9"/>
  <c r="G32" i="8"/>
  <c r="H29" i="8"/>
  <c r="H32" i="8" s="1"/>
  <c r="C34" i="8" s="1"/>
  <c r="C36" i="8" s="1"/>
  <c r="D36" i="8" s="1"/>
  <c r="G32" i="7"/>
  <c r="H29" i="7"/>
  <c r="H32" i="7" s="1"/>
  <c r="C34" i="7" s="1"/>
  <c r="C36" i="7" s="1"/>
  <c r="D36" i="7" s="1"/>
  <c r="H34" i="6"/>
  <c r="I30" i="6"/>
  <c r="I34" i="6" s="1"/>
  <c r="C36" i="6" s="1"/>
  <c r="C38" i="6" s="1"/>
  <c r="D38" i="6" s="1"/>
  <c r="H34" i="5"/>
  <c r="I30" i="5"/>
  <c r="I34" i="5" s="1"/>
  <c r="C36" i="5" s="1"/>
  <c r="C38" i="5" s="1"/>
  <c r="D38" i="5" s="1"/>
  <c r="H34" i="3"/>
  <c r="I30" i="3"/>
  <c r="I34" i="3" s="1"/>
  <c r="C36" i="3" s="1"/>
  <c r="C38" i="3" s="1"/>
  <c r="D38" i="3" s="1"/>
  <c r="L45" i="9" l="1"/>
  <c r="M37" i="9"/>
  <c r="M45" i="9" s="1"/>
  <c r="C48" i="9" s="1"/>
  <c r="C50" i="9" s="1"/>
  <c r="D50" i="9" s="1"/>
  <c r="K28" i="1" l="1"/>
  <c r="J28" i="1"/>
  <c r="J27" i="1"/>
  <c r="L25" i="1"/>
  <c r="K25" i="1"/>
  <c r="J25" i="1"/>
  <c r="K24" i="1"/>
  <c r="K29" i="1" s="1"/>
  <c r="J24" i="1"/>
  <c r="L23" i="1"/>
  <c r="K23" i="1"/>
  <c r="J23" i="1"/>
  <c r="F28" i="1"/>
  <c r="F27" i="1"/>
  <c r="F25" i="1"/>
  <c r="F24" i="1"/>
  <c r="F23" i="1"/>
  <c r="J22" i="1"/>
  <c r="E25" i="1"/>
  <c r="E24" i="1"/>
  <c r="E23" i="1"/>
  <c r="E22" i="1"/>
  <c r="E28" i="1"/>
  <c r="J21" i="1"/>
  <c r="D28" i="1"/>
  <c r="D27" i="1"/>
  <c r="D25" i="1"/>
  <c r="D24" i="1"/>
  <c r="D23" i="1"/>
  <c r="D22" i="1"/>
  <c r="G29" i="1"/>
  <c r="G42" i="1" s="1"/>
  <c r="H29" i="1"/>
  <c r="I29" i="1"/>
  <c r="D21" i="1"/>
  <c r="C28" i="1"/>
  <c r="C26" i="1"/>
  <c r="C25" i="1"/>
  <c r="C24" i="1"/>
  <c r="C23" i="1"/>
  <c r="C22" i="1"/>
  <c r="C20" i="1"/>
  <c r="C27" i="1"/>
  <c r="C21" i="1"/>
  <c r="E29" i="1" l="1"/>
  <c r="F29" i="1"/>
  <c r="J29" i="1"/>
  <c r="J38" i="1" s="1"/>
  <c r="L29" i="1"/>
  <c r="L38" i="1" s="1"/>
  <c r="O115" i="1"/>
  <c r="G44" i="1"/>
  <c r="G39" i="1"/>
  <c r="G40" i="1"/>
  <c r="G36" i="1"/>
  <c r="G43" i="1"/>
  <c r="K42" i="1"/>
  <c r="L45" i="1"/>
  <c r="H45" i="1"/>
  <c r="H41" i="1"/>
  <c r="H37" i="1"/>
  <c r="H43" i="1"/>
  <c r="H39" i="1"/>
  <c r="H44" i="1"/>
  <c r="H36" i="1"/>
  <c r="H42" i="1"/>
  <c r="C29" i="1"/>
  <c r="C37" i="1" s="1"/>
  <c r="H40" i="1"/>
  <c r="D29" i="1"/>
  <c r="D40" i="1" s="1"/>
  <c r="H38" i="1"/>
  <c r="G37" i="1"/>
  <c r="G41" i="1"/>
  <c r="G45" i="1"/>
  <c r="G38" i="1"/>
  <c r="L44" i="1" l="1"/>
  <c r="L39" i="1"/>
  <c r="L40" i="1"/>
  <c r="L42" i="1"/>
  <c r="L43" i="1"/>
  <c r="L36" i="1"/>
  <c r="L37" i="1"/>
  <c r="L41" i="1"/>
  <c r="G46" i="1"/>
  <c r="C45" i="1"/>
  <c r="J39" i="1"/>
  <c r="D44" i="1"/>
  <c r="D45" i="1"/>
  <c r="E44" i="1"/>
  <c r="E36" i="1"/>
  <c r="E38" i="1"/>
  <c r="E43" i="1"/>
  <c r="E39" i="1"/>
  <c r="E45" i="1"/>
  <c r="E37" i="1"/>
  <c r="E41" i="1"/>
  <c r="C40" i="1"/>
  <c r="C36" i="1"/>
  <c r="C43" i="1"/>
  <c r="C39" i="1"/>
  <c r="C44" i="1"/>
  <c r="F43" i="1"/>
  <c r="F39" i="1"/>
  <c r="F45" i="1"/>
  <c r="F41" i="1"/>
  <c r="F37" i="1"/>
  <c r="F44" i="1"/>
  <c r="F36" i="1"/>
  <c r="F40" i="1"/>
  <c r="C42" i="1"/>
  <c r="J43" i="1"/>
  <c r="J37" i="1"/>
  <c r="J40" i="1"/>
  <c r="J44" i="1"/>
  <c r="J36" i="1"/>
  <c r="C38" i="1"/>
  <c r="J41" i="1"/>
  <c r="K44" i="1"/>
  <c r="K40" i="1"/>
  <c r="K36" i="1"/>
  <c r="K37" i="1"/>
  <c r="K39" i="1"/>
  <c r="K43" i="1"/>
  <c r="K45" i="1"/>
  <c r="H46" i="1"/>
  <c r="E42" i="1"/>
  <c r="J42" i="1"/>
  <c r="F38" i="1"/>
  <c r="K41" i="1"/>
  <c r="I44" i="1"/>
  <c r="I36" i="1"/>
  <c r="I42" i="1"/>
  <c r="I38" i="1"/>
  <c r="I43" i="1"/>
  <c r="I39" i="1"/>
  <c r="I45" i="1"/>
  <c r="I37" i="1"/>
  <c r="I41" i="1"/>
  <c r="K38" i="1"/>
  <c r="D37" i="1"/>
  <c r="D43" i="1"/>
  <c r="D39" i="1"/>
  <c r="D36" i="1"/>
  <c r="D38" i="1"/>
  <c r="F42" i="1"/>
  <c r="D41" i="1"/>
  <c r="C41" i="1"/>
  <c r="J45" i="1"/>
  <c r="E40" i="1"/>
  <c r="I40" i="1"/>
  <c r="D42" i="1"/>
  <c r="L46" i="1" l="1"/>
  <c r="F46" i="1"/>
  <c r="M37" i="1"/>
  <c r="N37" i="1" s="1"/>
  <c r="O37" i="1" s="1"/>
  <c r="M39" i="1"/>
  <c r="N39" i="1" s="1"/>
  <c r="O39" i="1" s="1"/>
  <c r="M41" i="1"/>
  <c r="N41" i="1" s="1"/>
  <c r="O41" i="1" s="1"/>
  <c r="D46" i="1"/>
  <c r="M45" i="1"/>
  <c r="N45" i="1" s="1"/>
  <c r="O45" i="1" s="1"/>
  <c r="M43" i="1"/>
  <c r="N43" i="1" s="1"/>
  <c r="O43" i="1" s="1"/>
  <c r="C46" i="1"/>
  <c r="M36" i="1"/>
  <c r="M40" i="1"/>
  <c r="N40" i="1" s="1"/>
  <c r="O40" i="1" s="1"/>
  <c r="I46" i="1"/>
  <c r="K46" i="1"/>
  <c r="M42" i="1"/>
  <c r="N42" i="1" s="1"/>
  <c r="O42" i="1" s="1"/>
  <c r="E46" i="1"/>
  <c r="M38" i="1"/>
  <c r="N38" i="1" s="1"/>
  <c r="O38" i="1" s="1"/>
  <c r="J46" i="1"/>
  <c r="M44" i="1"/>
  <c r="N44" i="1" s="1"/>
  <c r="O44" i="1" s="1"/>
  <c r="M46" i="1" l="1"/>
  <c r="N36" i="1"/>
  <c r="N46" i="1" l="1"/>
  <c r="O36" i="1"/>
  <c r="O46" i="1" s="1"/>
  <c r="C49" i="1" s="1"/>
  <c r="C51" i="1" s="1"/>
  <c r="D51" i="1" s="1"/>
</calcChain>
</file>

<file path=xl/sharedStrings.xml><?xml version="1.0" encoding="utf-8"?>
<sst xmlns="http://schemas.openxmlformats.org/spreadsheetml/2006/main" count="503" uniqueCount="122">
  <si>
    <t xml:space="preserve">Tahap 1 </t>
  </si>
  <si>
    <t xml:space="preserve">Menentukan Matriks Perbandingan Kriteria </t>
  </si>
  <si>
    <t xml:space="preserve">MATRIKS PERBANDINGAN KRITERIA </t>
  </si>
  <si>
    <t>Column1</t>
  </si>
  <si>
    <t>Productivity</t>
  </si>
  <si>
    <t>Pelaksanaan 5R</t>
  </si>
  <si>
    <t>Dokumentasi</t>
  </si>
  <si>
    <t>Kehadiran</t>
  </si>
  <si>
    <t>Kedisiplinan</t>
  </si>
  <si>
    <t>Inisiatif</t>
  </si>
  <si>
    <t>TOTAL</t>
  </si>
  <si>
    <t xml:space="preserve">TAHAP 2 </t>
  </si>
  <si>
    <t>Menentukan Matriks nilai kriteria</t>
  </si>
  <si>
    <t xml:space="preserve">MATRIKS NILAI KRITERIA </t>
  </si>
  <si>
    <t>JUMLAH</t>
  </si>
  <si>
    <t>PRIORITAS</t>
  </si>
  <si>
    <t>EIGEN VALUE</t>
  </si>
  <si>
    <t>CI</t>
  </si>
  <si>
    <t>RI</t>
  </si>
  <si>
    <t>CR</t>
  </si>
  <si>
    <t>Tahap 3</t>
  </si>
  <si>
    <t>Perangkingan Alternatif</t>
  </si>
  <si>
    <t>NILAI KRITERIA</t>
  </si>
  <si>
    <t>PRODUCTIVITY</t>
  </si>
  <si>
    <t>Pekerjaan selesai &gt;90%</t>
  </si>
  <si>
    <t>Sangat Baik</t>
  </si>
  <si>
    <t>Pekerjaan selsesai 80 - 90 %</t>
  </si>
  <si>
    <t xml:space="preserve">Baik </t>
  </si>
  <si>
    <t>Pekerjaan selesai 60 - 79%</t>
  </si>
  <si>
    <t>Kurang</t>
  </si>
  <si>
    <t>Pekerjaan selesai &lt; 60 %</t>
  </si>
  <si>
    <t>Tidak Mampu</t>
  </si>
  <si>
    <t>PELAKSANAAN 5R</t>
  </si>
  <si>
    <t>DOKUMENTASI</t>
  </si>
  <si>
    <t>Melaksanakan</t>
  </si>
  <si>
    <t>Sangat Lengkap dan sesuai</t>
  </si>
  <si>
    <t xml:space="preserve">Kurang Melaksanakan </t>
  </si>
  <si>
    <t>Lengkap</t>
  </si>
  <si>
    <t>Tidak Melaksanakan</t>
  </si>
  <si>
    <t>Kurang Lengkap dan tidak sesuai</t>
  </si>
  <si>
    <t>PEMAHAMAN DAN PELAKSANAAN K3</t>
  </si>
  <si>
    <t>Sangat Mampu</t>
  </si>
  <si>
    <t>Mampu</t>
  </si>
  <si>
    <t>Kurang Mampu</t>
  </si>
  <si>
    <t>KEHADIRAN</t>
  </si>
  <si>
    <t>Hadir 100%</t>
  </si>
  <si>
    <t>KEDISIPILINAN</t>
  </si>
  <si>
    <t>INISIATIF</t>
  </si>
  <si>
    <t>Hadir 100% ada terlambat</t>
  </si>
  <si>
    <t>Tidak Ada Pelanggaran</t>
  </si>
  <si>
    <t>Sangat Bagus</t>
  </si>
  <si>
    <t xml:space="preserve">Hadir &gt;=90 % </t>
  </si>
  <si>
    <t xml:space="preserve">Sedikit Pelanggaran </t>
  </si>
  <si>
    <t xml:space="preserve">Bagus </t>
  </si>
  <si>
    <t>Hadir &gt; 90 % ada terlambat</t>
  </si>
  <si>
    <t>Banyak Pelanggaran</t>
  </si>
  <si>
    <t>Kurang Bagus</t>
  </si>
  <si>
    <t xml:space="preserve">Hadir 80-90 % </t>
  </si>
  <si>
    <t>Hadir 80-90 % ada terlambat</t>
  </si>
  <si>
    <t>Hadir &lt; 80 %</t>
  </si>
  <si>
    <t>Hadir &lt;80 % ada terlambat</t>
  </si>
  <si>
    <t>DATA PENILAIAN ALTERNATIF</t>
  </si>
  <si>
    <t>Nama</t>
  </si>
  <si>
    <t>KRITERI PENILAIAN</t>
  </si>
  <si>
    <t>kehadiran</t>
  </si>
  <si>
    <t>Kedisipilinan</t>
  </si>
  <si>
    <t>HASIL PERHITUNGAN ALTERNATIF</t>
  </si>
  <si>
    <t>Total</t>
  </si>
  <si>
    <t>Nilai</t>
  </si>
  <si>
    <t>BONUS</t>
  </si>
  <si>
    <t>KET GRADE</t>
  </si>
  <si>
    <t xml:space="preserve">BESARAN BONUS </t>
  </si>
  <si>
    <t>D</t>
  </si>
  <si>
    <t>25% dari pembagaian omset per divisi</t>
  </si>
  <si>
    <t>C</t>
  </si>
  <si>
    <t>50% dari pembagaian omset per divisi</t>
  </si>
  <si>
    <t>B</t>
  </si>
  <si>
    <t>75% dari pembagaian omset per divisi</t>
  </si>
  <si>
    <t>A</t>
  </si>
  <si>
    <t>100% dari pembagaian omset per divisi</t>
  </si>
  <si>
    <t>Penentuan Bonus Karyawan Berdasarkan Penilaian Kinerja (KEPALA DIVISI)</t>
  </si>
  <si>
    <t>Leadership</t>
  </si>
  <si>
    <t>Kemampuan Pemecahan Masalah</t>
  </si>
  <si>
    <t>Realisasi SOP /SPK</t>
  </si>
  <si>
    <t>Pelaksanaan / peerapan K3</t>
  </si>
  <si>
    <t>Pelaksanaan / penerapan K3</t>
  </si>
  <si>
    <t>LEADERSHIP</t>
  </si>
  <si>
    <t>KEMAMPUAN PEMECAH MASALAH</t>
  </si>
  <si>
    <t>REALISASI SOP</t>
  </si>
  <si>
    <t xml:space="preserve"> Melaksanakan</t>
  </si>
  <si>
    <t>Kurang Melaksanakan</t>
  </si>
  <si>
    <t>Tahap 1</t>
  </si>
  <si>
    <t>Kurang Melakasanakan</t>
  </si>
  <si>
    <t>Tidak  Melaksanakan</t>
  </si>
  <si>
    <t xml:space="preserve">Hadir &gt; 90 % </t>
  </si>
  <si>
    <t>Hadir &gt;90 % ada terlambat</t>
  </si>
  <si>
    <t>Hadir &lt; 80 %Aada terlambat</t>
  </si>
  <si>
    <t>Tahap 1 +F27A4:F23</t>
  </si>
  <si>
    <t>Baik</t>
  </si>
  <si>
    <t xml:space="preserve">Mampu </t>
  </si>
  <si>
    <t>Zaenal Arifin</t>
  </si>
  <si>
    <t>Bahrul Rosi</t>
  </si>
  <si>
    <t>Cahyo Kumolo</t>
  </si>
  <si>
    <t>Elysa Anggraini</t>
  </si>
  <si>
    <t>Rufiyanto</t>
  </si>
  <si>
    <t>Dimas Eka</t>
  </si>
  <si>
    <t>Dani Arief Bahtiar</t>
  </si>
  <si>
    <t>M. Rodi</t>
  </si>
  <si>
    <t>Rusmanto</t>
  </si>
  <si>
    <t>Halimin Eko Budianto</t>
  </si>
  <si>
    <t>Akbar Bintang</t>
  </si>
  <si>
    <t>Arief Setiawan</t>
  </si>
  <si>
    <t>Ahmad Doni Bait</t>
  </si>
  <si>
    <t>Denny Susanto</t>
  </si>
  <si>
    <t>Singgih Andriyanto</t>
  </si>
  <si>
    <t>Dhonny Ari</t>
  </si>
  <si>
    <t>Taufik Ismail</t>
  </si>
  <si>
    <t>Slamet Sulton</t>
  </si>
  <si>
    <t>Nilai dibawah 200</t>
  </si>
  <si>
    <t>Nilai lebih dari sama dengan 200 dan kurang dari 300</t>
  </si>
  <si>
    <t>Nilai lebih dari sama dengan 300 dan kurang dari 375</t>
  </si>
  <si>
    <t>Nilai lebih dari sama dengan 375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</si>
</sst>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9"/>
      <color theme="1"/>
      <name val="Tw Cen MT"/>
      <family val="2"/>
    </font>
    <font>
      <sz val="10"/>
      <name val="Arial"/>
      <family val="2"/>
    </font>
    <font>
      <sz val="10"/>
      <name val="Tw Cen MT"/>
      <family val="2"/>
    </font>
    <font>
      <b/>
      <sz val="8"/>
      <name val="Tw Cen MT"/>
      <family val="2"/>
    </font>
    <font>
      <sz val="11"/>
      <name val="Tw Cen MT"/>
      <family val="2"/>
    </font>
    <font>
      <b/>
      <sz val="11"/>
      <name val="Tw Cen MT"/>
      <family val="2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5">
    <xf numFmtId="0" fontId="0" fillId="0" borderId="0"/>
    <xf numFmtId="0" fontId="2" fillId="0" borderId="1" applyNumberFormat="0" applyFill="0" applyAlignment="0" applyProtection="0"/>
    <xf numFmtId="0" fontId="5" fillId="0" borderId="0"/>
    <xf numFmtId="0" fontId="1" fillId="0" borderId="0"/>
    <xf numFmtId="0" fontId="7" fillId="0" borderId="0"/>
  </cellStyleXfs>
  <cellXfs count="63">
    <xf numFmtId="0" fontId="0" fillId="0" borderId="0" xfId="0"/>
    <xf numFmtId="0" fontId="3" fillId="0" borderId="0" xfId="0" applyFont="1"/>
    <xf numFmtId="49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3" fillId="0" borderId="0" xfId="0" applyNumberFormat="1" applyFont="1"/>
    <xf numFmtId="0" fontId="3" fillId="0" borderId="0" xfId="0" applyNumberFormat="1" applyFont="1" applyAlignment="1">
      <alignment horizontal="center"/>
    </xf>
    <xf numFmtId="49" fontId="0" fillId="0" borderId="0" xfId="0" applyNumberFormat="1" applyFont="1"/>
    <xf numFmtId="0" fontId="3" fillId="0" borderId="2" xfId="0" applyFont="1" applyBorder="1"/>
    <xf numFmtId="0" fontId="0" fillId="0" borderId="2" xfId="0" applyBorder="1" applyAlignment="1">
      <alignment horizontal="right"/>
    </xf>
    <xf numFmtId="0" fontId="3" fillId="0" borderId="2" xfId="0" applyFont="1" applyBorder="1" applyAlignment="1">
      <alignment horizontal="right"/>
    </xf>
    <xf numFmtId="0" fontId="2" fillId="0" borderId="1" xfId="1" applyAlignment="1">
      <alignment horizontal="left"/>
    </xf>
    <xf numFmtId="49" fontId="0" fillId="2" borderId="2" xfId="0" applyNumberFormat="1" applyFont="1" applyFill="1" applyBorder="1"/>
    <xf numFmtId="0" fontId="0" fillId="0" borderId="2" xfId="0" applyBorder="1"/>
    <xf numFmtId="49" fontId="0" fillId="0" borderId="2" xfId="0" applyNumberFormat="1" applyFont="1" applyBorder="1"/>
    <xf numFmtId="0" fontId="0" fillId="0" borderId="2" xfId="0" applyBorder="1" applyAlignment="1">
      <alignment wrapText="1"/>
    </xf>
    <xf numFmtId="49" fontId="0" fillId="0" borderId="2" xfId="0" applyNumberFormat="1" applyFont="1" applyBorder="1" applyAlignment="1">
      <alignment wrapText="1"/>
    </xf>
    <xf numFmtId="49" fontId="0" fillId="2" borderId="2" xfId="0" applyNumberFormat="1" applyFont="1" applyFill="1" applyBorder="1" applyAlignment="1">
      <alignment wrapText="1"/>
    </xf>
    <xf numFmtId="0" fontId="5" fillId="0" borderId="2" xfId="2" applyBorder="1"/>
    <xf numFmtId="0" fontId="8" fillId="0" borderId="5" xfId="4" applyFont="1" applyBorder="1" applyAlignment="1" applyProtection="1">
      <alignment vertical="center"/>
      <protection hidden="1"/>
    </xf>
    <xf numFmtId="0" fontId="8" fillId="0" borderId="2" xfId="4" applyFont="1" applyBorder="1" applyAlignment="1" applyProtection="1">
      <alignment vertical="center"/>
      <protection hidden="1"/>
    </xf>
    <xf numFmtId="0" fontId="6" fillId="0" borderId="2" xfId="3" applyFont="1" applyFill="1" applyBorder="1" applyAlignment="1">
      <alignment horizontal="left" vertical="center"/>
    </xf>
    <xf numFmtId="0" fontId="5" fillId="0" borderId="2" xfId="2" applyBorder="1" applyAlignment="1">
      <alignment wrapText="1"/>
    </xf>
    <xf numFmtId="0" fontId="0" fillId="0" borderId="4" xfId="0" applyBorder="1"/>
    <xf numFmtId="0" fontId="5" fillId="0" borderId="5" xfId="2" applyBorder="1" applyAlignment="1">
      <alignment horizontal="center"/>
    </xf>
    <xf numFmtId="0" fontId="5" fillId="0" borderId="6" xfId="2" applyBorder="1" applyAlignment="1">
      <alignment horizontal="center"/>
    </xf>
    <xf numFmtId="0" fontId="0" fillId="0" borderId="2" xfId="0" applyNumberFormat="1" applyBorder="1" applyAlignment="1">
      <alignment wrapText="1"/>
    </xf>
    <xf numFmtId="0" fontId="0" fillId="0" borderId="2" xfId="0" applyNumberFormat="1" applyBorder="1"/>
    <xf numFmtId="0" fontId="3" fillId="0" borderId="2" xfId="0" applyFont="1" applyBorder="1" applyAlignment="1">
      <alignment horizontal="center"/>
    </xf>
    <xf numFmtId="0" fontId="10" fillId="0" borderId="2" xfId="4" applyFont="1" applyBorder="1" applyAlignment="1">
      <alignment horizontal="center" vertical="center"/>
    </xf>
    <xf numFmtId="0" fontId="11" fillId="0" borderId="2" xfId="4" applyFont="1" applyBorder="1" applyAlignment="1">
      <alignment horizontal="center" vertical="center"/>
    </xf>
    <xf numFmtId="49" fontId="0" fillId="2" borderId="8" xfId="0" applyNumberFormat="1" applyFont="1" applyFill="1" applyBorder="1"/>
    <xf numFmtId="49" fontId="0" fillId="0" borderId="8" xfId="0" applyNumberFormat="1" applyFont="1" applyBorder="1"/>
    <xf numFmtId="0" fontId="3" fillId="0" borderId="0" xfId="0" applyFont="1" applyFill="1" applyBorder="1" applyAlignment="1">
      <alignment wrapText="1"/>
    </xf>
    <xf numFmtId="0" fontId="0" fillId="2" borderId="9" xfId="0" applyNumberFormat="1" applyFont="1" applyFill="1" applyBorder="1" applyAlignment="1">
      <alignment horizontal="center"/>
    </xf>
    <xf numFmtId="0" fontId="0" fillId="2" borderId="10" xfId="0" applyNumberFormat="1" applyFont="1" applyFill="1" applyBorder="1" applyAlignment="1">
      <alignment horizontal="center"/>
    </xf>
    <xf numFmtId="0" fontId="0" fillId="0" borderId="9" xfId="0" applyNumberFormat="1" applyFont="1" applyBorder="1" applyAlignment="1">
      <alignment horizontal="center"/>
    </xf>
    <xf numFmtId="0" fontId="0" fillId="0" borderId="10" xfId="0" applyNumberFormat="1" applyFont="1" applyBorder="1" applyAlignment="1">
      <alignment horizontal="center"/>
    </xf>
    <xf numFmtId="49" fontId="12" fillId="3" borderId="9" xfId="0" applyNumberFormat="1" applyFont="1" applyFill="1" applyBorder="1"/>
    <xf numFmtId="49" fontId="12" fillId="3" borderId="10" xfId="0" applyNumberFormat="1" applyFont="1" applyFill="1" applyBorder="1"/>
    <xf numFmtId="49" fontId="0" fillId="0" borderId="2" xfId="0" applyNumberFormat="1" applyFill="1" applyBorder="1"/>
    <xf numFmtId="49" fontId="0" fillId="0" borderId="2" xfId="0" applyNumberFormat="1" applyBorder="1"/>
    <xf numFmtId="0" fontId="0" fillId="0" borderId="2" xfId="0" applyNumberFormat="1" applyBorder="1" applyAlignment="1">
      <alignment horizontal="right"/>
    </xf>
    <xf numFmtId="49" fontId="3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NumberFormat="1"/>
    <xf numFmtId="49" fontId="0" fillId="2" borderId="9" xfId="0" applyNumberFormat="1" applyFont="1" applyFill="1" applyBorder="1"/>
    <xf numFmtId="49" fontId="0" fillId="0" borderId="6" xfId="0" applyNumberFormat="1" applyFont="1" applyBorder="1" applyAlignment="1">
      <alignment wrapText="1"/>
    </xf>
    <xf numFmtId="49" fontId="0" fillId="2" borderId="6" xfId="0" applyNumberFormat="1" applyFont="1" applyFill="1" applyBorder="1"/>
    <xf numFmtId="0" fontId="9" fillId="0" borderId="2" xfId="4" applyFont="1" applyBorder="1" applyAlignment="1">
      <alignment horizontal="center" vertical="center"/>
    </xf>
    <xf numFmtId="0" fontId="5" fillId="0" borderId="5" xfId="2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0" borderId="3" xfId="2" applyBorder="1" applyAlignment="1">
      <alignment horizontal="center"/>
    </xf>
    <xf numFmtId="0" fontId="5" fillId="0" borderId="7" xfId="2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5" fillId="0" borderId="4" xfId="2" applyBorder="1" applyAlignment="1">
      <alignment horizontal="center"/>
    </xf>
    <xf numFmtId="0" fontId="5" fillId="0" borderId="5" xfId="2" applyBorder="1" applyAlignment="1">
      <alignment horizontal="center"/>
    </xf>
    <xf numFmtId="0" fontId="5" fillId="0" borderId="6" xfId="2" applyBorder="1" applyAlignment="1">
      <alignment horizontal="center"/>
    </xf>
    <xf numFmtId="0" fontId="5" fillId="0" borderId="2" xfId="2" applyBorder="1" applyAlignment="1">
      <alignment horizontal="center"/>
    </xf>
    <xf numFmtId="0" fontId="5" fillId="0" borderId="4" xfId="2" applyBorder="1"/>
    <xf numFmtId="0" fontId="0" fillId="4" borderId="0" xfId="0" applyFill="1"/>
  </cellXfs>
  <cellStyles count="5">
    <cellStyle name="Heading 1" xfId="1" builtinId="16"/>
    <cellStyle name="Normal" xfId="0" builtinId="0"/>
    <cellStyle name="Normal 2" xfId="2"/>
    <cellStyle name="Normal 3" xfId="4"/>
    <cellStyle name="Normal 3 2 2 2" xfId="3"/>
  </cellStyles>
  <dxfs count="151"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0" formatCode="@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0" formatCode="@"/>
    </dxf>
    <dxf>
      <numFmt numFmtId="30" formatCode="@"/>
    </dxf>
    <dxf>
      <numFmt numFmtId="30" formatCode="@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0" formatCode="@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0" formatCode="@"/>
    </dxf>
    <dxf>
      <numFmt numFmtId="30" formatCode="@"/>
    </dxf>
    <dxf>
      <numFmt numFmtId="30" formatCode="@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0" formatCode="@"/>
    </dxf>
    <dxf>
      <numFmt numFmtId="30" formatCode="@"/>
    </dxf>
    <dxf>
      <numFmt numFmtId="30" formatCode="@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30" formatCode="@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0" formatCode="@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0" formatCode="@"/>
    </dxf>
    <dxf>
      <numFmt numFmtId="30" formatCode="@"/>
    </dxf>
    <dxf>
      <numFmt numFmtId="30" formatCode="@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0" formatCode="@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0" formatCode="@"/>
    </dxf>
    <dxf>
      <numFmt numFmtId="30" formatCode="@"/>
    </dxf>
    <dxf>
      <numFmt numFmtId="30" formatCode="@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0" formatCode="@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0" formatCode="@"/>
    </dxf>
    <dxf>
      <numFmt numFmtId="30" formatCode="@"/>
    </dxf>
    <dxf>
      <numFmt numFmtId="30" formatCode="@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0" formatCode="@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0" formatCode="@"/>
    </dxf>
    <dxf>
      <numFmt numFmtId="30" formatCode="@"/>
    </dxf>
    <dxf>
      <numFmt numFmtId="30" formatCode="@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0" formatCode="@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0" formatCode="@"/>
    </dxf>
    <dxf>
      <numFmt numFmtId="30" formatCode="@"/>
    </dxf>
    <dxf>
      <numFmt numFmtId="30" formatCode="@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0" formatCode="@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0" formatCode="@"/>
    </dxf>
    <dxf>
      <numFmt numFmtId="30" formatCode="@"/>
    </dxf>
    <dxf>
      <numFmt numFmtId="30" formatCode="@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0" formatCode="@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0" formatCode="@"/>
    </dxf>
    <dxf>
      <numFmt numFmtId="30" formatCode="@"/>
    </dxf>
    <dxf>
      <numFmt numFmtId="30" formatCode="@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0" formatCode="@"/>
    </dxf>
    <dxf>
      <numFmt numFmtId="30" formatCode="@"/>
    </dxf>
    <dxf>
      <numFmt numFmtId="30" formatCode="@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0" formatCode="@"/>
    </dxf>
    <dxf>
      <numFmt numFmtId="30" formatCode="@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37514</xdr:colOff>
      <xdr:row>4</xdr:row>
      <xdr:rowOff>114300</xdr:rowOff>
    </xdr:from>
    <xdr:to>
      <xdr:col>2</xdr:col>
      <xdr:colOff>1240155</xdr:colOff>
      <xdr:row>15</xdr:row>
      <xdr:rowOff>7620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7114" y="891540"/>
          <a:ext cx="3602941" cy="1905000"/>
        </a:xfrm>
        <a:prstGeom prst="rect">
          <a:avLst/>
        </a:prstGeom>
      </xdr:spPr>
    </xdr:pic>
    <xdr:clientData/>
  </xdr:twoCellAnchor>
  <xdr:twoCellAnchor>
    <xdr:from>
      <xdr:col>0</xdr:col>
      <xdr:colOff>600075</xdr:colOff>
      <xdr:row>17</xdr:row>
      <xdr:rowOff>63500</xdr:rowOff>
    </xdr:from>
    <xdr:to>
      <xdr:col>1</xdr:col>
      <xdr:colOff>723900</xdr:colOff>
      <xdr:row>18</xdr:row>
      <xdr:rowOff>0</xdr:rowOff>
    </xdr:to>
    <xdr:sp macro="" textlink="">
      <xdr:nvSpPr>
        <xdr:cNvPr id="3" name="Rectangle 2"/>
        <xdr:cNvSpPr/>
      </xdr:nvSpPr>
      <xdr:spPr>
        <a:xfrm>
          <a:off x="600075" y="3136900"/>
          <a:ext cx="733425" cy="114300"/>
        </a:xfrm>
        <a:prstGeom prst="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28575</xdr:colOff>
      <xdr:row>34</xdr:row>
      <xdr:rowOff>38100</xdr:rowOff>
    </xdr:from>
    <xdr:to>
      <xdr:col>1</xdr:col>
      <xdr:colOff>762000</xdr:colOff>
      <xdr:row>34</xdr:row>
      <xdr:rowOff>152400</xdr:rowOff>
    </xdr:to>
    <xdr:sp macro="" textlink="">
      <xdr:nvSpPr>
        <xdr:cNvPr id="4" name="Rectangle 3"/>
        <xdr:cNvSpPr/>
      </xdr:nvSpPr>
      <xdr:spPr>
        <a:xfrm>
          <a:off x="638175" y="6301740"/>
          <a:ext cx="733425" cy="114300"/>
        </a:xfrm>
        <a:prstGeom prst="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4</xdr:col>
      <xdr:colOff>647700</xdr:colOff>
      <xdr:row>47</xdr:row>
      <xdr:rowOff>9525</xdr:rowOff>
    </xdr:from>
    <xdr:to>
      <xdr:col>5</xdr:col>
      <xdr:colOff>1021788</xdr:colOff>
      <xdr:row>58</xdr:row>
      <xdr:rowOff>160020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8000" y="8650605"/>
          <a:ext cx="3297628" cy="2162175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592455</xdr:colOff>
      <xdr:row>27</xdr:row>
      <xdr:rowOff>0</xdr:rowOff>
    </xdr:from>
    <xdr:to>
      <xdr:col>2</xdr:col>
      <xdr:colOff>0</xdr:colOff>
      <xdr:row>27</xdr:row>
      <xdr:rowOff>175260</xdr:rowOff>
    </xdr:to>
    <xdr:sp macro="" textlink="">
      <xdr:nvSpPr>
        <xdr:cNvPr id="2" name="Rectangle 1"/>
        <xdr:cNvSpPr/>
      </xdr:nvSpPr>
      <xdr:spPr>
        <a:xfrm>
          <a:off x="592455" y="4937760"/>
          <a:ext cx="1701165" cy="175260"/>
        </a:xfrm>
        <a:prstGeom prst="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4</xdr:col>
      <xdr:colOff>1584960</xdr:colOff>
      <xdr:row>33</xdr:row>
      <xdr:rowOff>38100</xdr:rowOff>
    </xdr:from>
    <xdr:to>
      <xdr:col>7</xdr:col>
      <xdr:colOff>600148</xdr:colOff>
      <xdr:row>48</xdr:row>
      <xdr:rowOff>127635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72300" y="6073140"/>
          <a:ext cx="3297628" cy="2832735"/>
        </a:xfrm>
        <a:prstGeom prst="rect">
          <a:avLst/>
        </a:prstGeom>
      </xdr:spPr>
    </xdr:pic>
    <xdr:clientData/>
  </xdr:twoCellAnchor>
  <xdr:twoCellAnchor editAs="oneCell">
    <xdr:from>
      <xdr:col>1</xdr:col>
      <xdr:colOff>37514</xdr:colOff>
      <xdr:row>4</xdr:row>
      <xdr:rowOff>114300</xdr:rowOff>
    </xdr:from>
    <xdr:to>
      <xdr:col>3</xdr:col>
      <xdr:colOff>356235</xdr:colOff>
      <xdr:row>15</xdr:row>
      <xdr:rowOff>7620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7114" y="845820"/>
          <a:ext cx="3602941" cy="1905000"/>
        </a:xfrm>
        <a:prstGeom prst="rect">
          <a:avLst/>
        </a:prstGeom>
      </xdr:spPr>
    </xdr:pic>
    <xdr:clientData/>
  </xdr:twoCellAnchor>
  <xdr:twoCellAnchor>
    <xdr:from>
      <xdr:col>1</xdr:col>
      <xdr:colOff>28575</xdr:colOff>
      <xdr:row>17</xdr:row>
      <xdr:rowOff>38100</xdr:rowOff>
    </xdr:from>
    <xdr:to>
      <xdr:col>1</xdr:col>
      <xdr:colOff>762000</xdr:colOff>
      <xdr:row>17</xdr:row>
      <xdr:rowOff>152400</xdr:rowOff>
    </xdr:to>
    <xdr:sp macro="" textlink="">
      <xdr:nvSpPr>
        <xdr:cNvPr id="5" name="Rectangle 4"/>
        <xdr:cNvSpPr/>
      </xdr:nvSpPr>
      <xdr:spPr>
        <a:xfrm>
          <a:off x="638175" y="3147060"/>
          <a:ext cx="733425" cy="114300"/>
        </a:xfrm>
        <a:prstGeom prst="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592455</xdr:colOff>
      <xdr:row>27</xdr:row>
      <xdr:rowOff>0</xdr:rowOff>
    </xdr:from>
    <xdr:to>
      <xdr:col>2</xdr:col>
      <xdr:colOff>0</xdr:colOff>
      <xdr:row>27</xdr:row>
      <xdr:rowOff>175260</xdr:rowOff>
    </xdr:to>
    <xdr:sp macro="" textlink="">
      <xdr:nvSpPr>
        <xdr:cNvPr id="6" name="Rectangle 5"/>
        <xdr:cNvSpPr/>
      </xdr:nvSpPr>
      <xdr:spPr>
        <a:xfrm>
          <a:off x="592455" y="4937760"/>
          <a:ext cx="1701165" cy="175260"/>
        </a:xfrm>
        <a:prstGeom prst="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4</xdr:col>
      <xdr:colOff>541020</xdr:colOff>
      <xdr:row>33</xdr:row>
      <xdr:rowOff>60960</xdr:rowOff>
    </xdr:from>
    <xdr:to>
      <xdr:col>7</xdr:col>
      <xdr:colOff>5788</xdr:colOff>
      <xdr:row>48</xdr:row>
      <xdr:rowOff>66675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28360" y="6096000"/>
          <a:ext cx="3297628" cy="2748915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37514</xdr:colOff>
      <xdr:row>4</xdr:row>
      <xdr:rowOff>114300</xdr:rowOff>
    </xdr:from>
    <xdr:to>
      <xdr:col>3</xdr:col>
      <xdr:colOff>440055</xdr:colOff>
      <xdr:row>15</xdr:row>
      <xdr:rowOff>7620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7114" y="845820"/>
          <a:ext cx="3602941" cy="1905000"/>
        </a:xfrm>
        <a:prstGeom prst="rect">
          <a:avLst/>
        </a:prstGeom>
      </xdr:spPr>
    </xdr:pic>
    <xdr:clientData/>
  </xdr:twoCellAnchor>
  <xdr:twoCellAnchor>
    <xdr:from>
      <xdr:col>1</xdr:col>
      <xdr:colOff>28575</xdr:colOff>
      <xdr:row>17</xdr:row>
      <xdr:rowOff>38100</xdr:rowOff>
    </xdr:from>
    <xdr:to>
      <xdr:col>1</xdr:col>
      <xdr:colOff>762000</xdr:colOff>
      <xdr:row>17</xdr:row>
      <xdr:rowOff>152400</xdr:rowOff>
    </xdr:to>
    <xdr:sp macro="" textlink="">
      <xdr:nvSpPr>
        <xdr:cNvPr id="3" name="Rectangle 2"/>
        <xdr:cNvSpPr/>
      </xdr:nvSpPr>
      <xdr:spPr>
        <a:xfrm>
          <a:off x="638175" y="3147060"/>
          <a:ext cx="733425" cy="114300"/>
        </a:xfrm>
        <a:prstGeom prst="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607695</xdr:colOff>
      <xdr:row>28</xdr:row>
      <xdr:rowOff>7620</xdr:rowOff>
    </xdr:from>
    <xdr:to>
      <xdr:col>2</xdr:col>
      <xdr:colOff>15240</xdr:colOff>
      <xdr:row>29</xdr:row>
      <xdr:rowOff>0</xdr:rowOff>
    </xdr:to>
    <xdr:sp macro="" textlink="">
      <xdr:nvSpPr>
        <xdr:cNvPr id="4" name="Rectangle 3"/>
        <xdr:cNvSpPr/>
      </xdr:nvSpPr>
      <xdr:spPr>
        <a:xfrm>
          <a:off x="607695" y="5128260"/>
          <a:ext cx="1320165" cy="175260"/>
        </a:xfrm>
        <a:prstGeom prst="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4</xdr:col>
      <xdr:colOff>541020</xdr:colOff>
      <xdr:row>35</xdr:row>
      <xdr:rowOff>60960</xdr:rowOff>
    </xdr:from>
    <xdr:to>
      <xdr:col>7</xdr:col>
      <xdr:colOff>203908</xdr:colOff>
      <xdr:row>49</xdr:row>
      <xdr:rowOff>81915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28360" y="6461760"/>
          <a:ext cx="3297628" cy="25812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37514</xdr:colOff>
      <xdr:row>4</xdr:row>
      <xdr:rowOff>114300</xdr:rowOff>
    </xdr:from>
    <xdr:to>
      <xdr:col>3</xdr:col>
      <xdr:colOff>561975</xdr:colOff>
      <xdr:row>15</xdr:row>
      <xdr:rowOff>7620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7114" y="845820"/>
          <a:ext cx="3602941" cy="1905000"/>
        </a:xfrm>
        <a:prstGeom prst="rect">
          <a:avLst/>
        </a:prstGeom>
      </xdr:spPr>
    </xdr:pic>
    <xdr:clientData/>
  </xdr:twoCellAnchor>
  <xdr:twoCellAnchor>
    <xdr:from>
      <xdr:col>1</xdr:col>
      <xdr:colOff>28575</xdr:colOff>
      <xdr:row>17</xdr:row>
      <xdr:rowOff>38100</xdr:rowOff>
    </xdr:from>
    <xdr:to>
      <xdr:col>1</xdr:col>
      <xdr:colOff>762000</xdr:colOff>
      <xdr:row>17</xdr:row>
      <xdr:rowOff>152400</xdr:rowOff>
    </xdr:to>
    <xdr:sp macro="" textlink="">
      <xdr:nvSpPr>
        <xdr:cNvPr id="3" name="Rectangle 2"/>
        <xdr:cNvSpPr/>
      </xdr:nvSpPr>
      <xdr:spPr>
        <a:xfrm>
          <a:off x="638175" y="3147060"/>
          <a:ext cx="733425" cy="114300"/>
        </a:xfrm>
        <a:prstGeom prst="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607695</xdr:colOff>
      <xdr:row>28</xdr:row>
      <xdr:rowOff>7620</xdr:rowOff>
    </xdr:from>
    <xdr:to>
      <xdr:col>2</xdr:col>
      <xdr:colOff>15240</xdr:colOff>
      <xdr:row>29</xdr:row>
      <xdr:rowOff>0</xdr:rowOff>
    </xdr:to>
    <xdr:sp macro="" textlink="">
      <xdr:nvSpPr>
        <xdr:cNvPr id="4" name="Rectangle 3"/>
        <xdr:cNvSpPr/>
      </xdr:nvSpPr>
      <xdr:spPr>
        <a:xfrm>
          <a:off x="607695" y="5128260"/>
          <a:ext cx="1777365" cy="175260"/>
        </a:xfrm>
        <a:prstGeom prst="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4</xdr:col>
      <xdr:colOff>541020</xdr:colOff>
      <xdr:row>35</xdr:row>
      <xdr:rowOff>60960</xdr:rowOff>
    </xdr:from>
    <xdr:to>
      <xdr:col>7</xdr:col>
      <xdr:colOff>165808</xdr:colOff>
      <xdr:row>48</xdr:row>
      <xdr:rowOff>13335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30340" y="6461760"/>
          <a:ext cx="3297628" cy="232981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37514</xdr:colOff>
      <xdr:row>4</xdr:row>
      <xdr:rowOff>114300</xdr:rowOff>
    </xdr:from>
    <xdr:to>
      <xdr:col>2</xdr:col>
      <xdr:colOff>1781175</xdr:colOff>
      <xdr:row>15</xdr:row>
      <xdr:rowOff>7620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7114" y="845820"/>
          <a:ext cx="3602941" cy="1905000"/>
        </a:xfrm>
        <a:prstGeom prst="rect">
          <a:avLst/>
        </a:prstGeom>
      </xdr:spPr>
    </xdr:pic>
    <xdr:clientData/>
  </xdr:twoCellAnchor>
  <xdr:twoCellAnchor>
    <xdr:from>
      <xdr:col>1</xdr:col>
      <xdr:colOff>28575</xdr:colOff>
      <xdr:row>17</xdr:row>
      <xdr:rowOff>38100</xdr:rowOff>
    </xdr:from>
    <xdr:to>
      <xdr:col>1</xdr:col>
      <xdr:colOff>762000</xdr:colOff>
      <xdr:row>17</xdr:row>
      <xdr:rowOff>152400</xdr:rowOff>
    </xdr:to>
    <xdr:sp macro="" textlink="">
      <xdr:nvSpPr>
        <xdr:cNvPr id="3" name="Rectangle 2"/>
        <xdr:cNvSpPr/>
      </xdr:nvSpPr>
      <xdr:spPr>
        <a:xfrm>
          <a:off x="638175" y="3147060"/>
          <a:ext cx="733425" cy="114300"/>
        </a:xfrm>
        <a:prstGeom prst="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607695</xdr:colOff>
      <xdr:row>28</xdr:row>
      <xdr:rowOff>7620</xdr:rowOff>
    </xdr:from>
    <xdr:to>
      <xdr:col>2</xdr:col>
      <xdr:colOff>15240</xdr:colOff>
      <xdr:row>29</xdr:row>
      <xdr:rowOff>0</xdr:rowOff>
    </xdr:to>
    <xdr:sp macro="" textlink="">
      <xdr:nvSpPr>
        <xdr:cNvPr id="4" name="Rectangle 3"/>
        <xdr:cNvSpPr/>
      </xdr:nvSpPr>
      <xdr:spPr>
        <a:xfrm>
          <a:off x="607695" y="5128260"/>
          <a:ext cx="1701165" cy="175260"/>
        </a:xfrm>
        <a:prstGeom prst="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4</xdr:col>
      <xdr:colOff>541020</xdr:colOff>
      <xdr:row>35</xdr:row>
      <xdr:rowOff>60960</xdr:rowOff>
    </xdr:from>
    <xdr:to>
      <xdr:col>8</xdr:col>
      <xdr:colOff>356308</xdr:colOff>
      <xdr:row>47</xdr:row>
      <xdr:rowOff>112395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45580" y="6461760"/>
          <a:ext cx="3297628" cy="224599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37514</xdr:colOff>
      <xdr:row>4</xdr:row>
      <xdr:rowOff>114300</xdr:rowOff>
    </xdr:from>
    <xdr:to>
      <xdr:col>3</xdr:col>
      <xdr:colOff>74295</xdr:colOff>
      <xdr:row>15</xdr:row>
      <xdr:rowOff>7620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7114" y="845820"/>
          <a:ext cx="3602941" cy="1905000"/>
        </a:xfrm>
        <a:prstGeom prst="rect">
          <a:avLst/>
        </a:prstGeom>
      </xdr:spPr>
    </xdr:pic>
    <xdr:clientData/>
  </xdr:twoCellAnchor>
  <xdr:twoCellAnchor>
    <xdr:from>
      <xdr:col>1</xdr:col>
      <xdr:colOff>28575</xdr:colOff>
      <xdr:row>17</xdr:row>
      <xdr:rowOff>38100</xdr:rowOff>
    </xdr:from>
    <xdr:to>
      <xdr:col>1</xdr:col>
      <xdr:colOff>762000</xdr:colOff>
      <xdr:row>17</xdr:row>
      <xdr:rowOff>152400</xdr:rowOff>
    </xdr:to>
    <xdr:sp macro="" textlink="">
      <xdr:nvSpPr>
        <xdr:cNvPr id="3" name="Rectangle 2"/>
        <xdr:cNvSpPr/>
      </xdr:nvSpPr>
      <xdr:spPr>
        <a:xfrm>
          <a:off x="638175" y="3147060"/>
          <a:ext cx="733425" cy="114300"/>
        </a:xfrm>
        <a:prstGeom prst="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607695</xdr:colOff>
      <xdr:row>28</xdr:row>
      <xdr:rowOff>7620</xdr:rowOff>
    </xdr:from>
    <xdr:to>
      <xdr:col>2</xdr:col>
      <xdr:colOff>15240</xdr:colOff>
      <xdr:row>29</xdr:row>
      <xdr:rowOff>0</xdr:rowOff>
    </xdr:to>
    <xdr:sp macro="" textlink="">
      <xdr:nvSpPr>
        <xdr:cNvPr id="4" name="Rectangle 3"/>
        <xdr:cNvSpPr/>
      </xdr:nvSpPr>
      <xdr:spPr>
        <a:xfrm>
          <a:off x="607695" y="5128260"/>
          <a:ext cx="1320165" cy="175260"/>
        </a:xfrm>
        <a:prstGeom prst="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4</xdr:col>
      <xdr:colOff>541020</xdr:colOff>
      <xdr:row>35</xdr:row>
      <xdr:rowOff>60960</xdr:rowOff>
    </xdr:from>
    <xdr:to>
      <xdr:col>6</xdr:col>
      <xdr:colOff>973528</xdr:colOff>
      <xdr:row>49</xdr:row>
      <xdr:rowOff>81915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28360" y="6461760"/>
          <a:ext cx="3297628" cy="258127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37514</xdr:colOff>
      <xdr:row>4</xdr:row>
      <xdr:rowOff>114300</xdr:rowOff>
    </xdr:from>
    <xdr:to>
      <xdr:col>3</xdr:col>
      <xdr:colOff>821055</xdr:colOff>
      <xdr:row>15</xdr:row>
      <xdr:rowOff>7620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7114" y="845820"/>
          <a:ext cx="3602941" cy="1905000"/>
        </a:xfrm>
        <a:prstGeom prst="rect">
          <a:avLst/>
        </a:prstGeom>
      </xdr:spPr>
    </xdr:pic>
    <xdr:clientData/>
  </xdr:twoCellAnchor>
  <xdr:twoCellAnchor>
    <xdr:from>
      <xdr:col>1</xdr:col>
      <xdr:colOff>28575</xdr:colOff>
      <xdr:row>17</xdr:row>
      <xdr:rowOff>38100</xdr:rowOff>
    </xdr:from>
    <xdr:to>
      <xdr:col>1</xdr:col>
      <xdr:colOff>762000</xdr:colOff>
      <xdr:row>17</xdr:row>
      <xdr:rowOff>152400</xdr:rowOff>
    </xdr:to>
    <xdr:sp macro="" textlink="">
      <xdr:nvSpPr>
        <xdr:cNvPr id="3" name="Rectangle 2"/>
        <xdr:cNvSpPr/>
      </xdr:nvSpPr>
      <xdr:spPr>
        <a:xfrm>
          <a:off x="638175" y="3147060"/>
          <a:ext cx="733425" cy="114300"/>
        </a:xfrm>
        <a:prstGeom prst="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607695</xdr:colOff>
      <xdr:row>28</xdr:row>
      <xdr:rowOff>7620</xdr:rowOff>
    </xdr:from>
    <xdr:to>
      <xdr:col>2</xdr:col>
      <xdr:colOff>15240</xdr:colOff>
      <xdr:row>29</xdr:row>
      <xdr:rowOff>0</xdr:rowOff>
    </xdr:to>
    <xdr:sp macro="" textlink="">
      <xdr:nvSpPr>
        <xdr:cNvPr id="4" name="Rectangle 3"/>
        <xdr:cNvSpPr/>
      </xdr:nvSpPr>
      <xdr:spPr>
        <a:xfrm>
          <a:off x="607695" y="5128260"/>
          <a:ext cx="1350645" cy="175260"/>
        </a:xfrm>
        <a:prstGeom prst="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4</xdr:col>
      <xdr:colOff>541020</xdr:colOff>
      <xdr:row>35</xdr:row>
      <xdr:rowOff>60960</xdr:rowOff>
    </xdr:from>
    <xdr:to>
      <xdr:col>7</xdr:col>
      <xdr:colOff>21028</xdr:colOff>
      <xdr:row>48</xdr:row>
      <xdr:rowOff>180975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10300" y="6461760"/>
          <a:ext cx="3297628" cy="249745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37514</xdr:colOff>
      <xdr:row>4</xdr:row>
      <xdr:rowOff>114300</xdr:rowOff>
    </xdr:from>
    <xdr:to>
      <xdr:col>3</xdr:col>
      <xdr:colOff>36195</xdr:colOff>
      <xdr:row>15</xdr:row>
      <xdr:rowOff>7620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7114" y="845820"/>
          <a:ext cx="3602941" cy="1905000"/>
        </a:xfrm>
        <a:prstGeom prst="rect">
          <a:avLst/>
        </a:prstGeom>
      </xdr:spPr>
    </xdr:pic>
    <xdr:clientData/>
  </xdr:twoCellAnchor>
  <xdr:twoCellAnchor>
    <xdr:from>
      <xdr:col>1</xdr:col>
      <xdr:colOff>28575</xdr:colOff>
      <xdr:row>17</xdr:row>
      <xdr:rowOff>38100</xdr:rowOff>
    </xdr:from>
    <xdr:to>
      <xdr:col>1</xdr:col>
      <xdr:colOff>762000</xdr:colOff>
      <xdr:row>17</xdr:row>
      <xdr:rowOff>152400</xdr:rowOff>
    </xdr:to>
    <xdr:sp macro="" textlink="">
      <xdr:nvSpPr>
        <xdr:cNvPr id="3" name="Rectangle 2"/>
        <xdr:cNvSpPr/>
      </xdr:nvSpPr>
      <xdr:spPr>
        <a:xfrm>
          <a:off x="638175" y="3147060"/>
          <a:ext cx="733425" cy="114300"/>
        </a:xfrm>
        <a:prstGeom prst="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607695</xdr:colOff>
      <xdr:row>28</xdr:row>
      <xdr:rowOff>7620</xdr:rowOff>
    </xdr:from>
    <xdr:to>
      <xdr:col>2</xdr:col>
      <xdr:colOff>15240</xdr:colOff>
      <xdr:row>29</xdr:row>
      <xdr:rowOff>0</xdr:rowOff>
    </xdr:to>
    <xdr:sp macro="" textlink="">
      <xdr:nvSpPr>
        <xdr:cNvPr id="4" name="Rectangle 3"/>
        <xdr:cNvSpPr/>
      </xdr:nvSpPr>
      <xdr:spPr>
        <a:xfrm>
          <a:off x="607695" y="5128260"/>
          <a:ext cx="2066925" cy="175260"/>
        </a:xfrm>
        <a:prstGeom prst="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4</xdr:col>
      <xdr:colOff>541020</xdr:colOff>
      <xdr:row>35</xdr:row>
      <xdr:rowOff>60960</xdr:rowOff>
    </xdr:from>
    <xdr:to>
      <xdr:col>6</xdr:col>
      <xdr:colOff>493468</xdr:colOff>
      <xdr:row>48</xdr:row>
      <xdr:rowOff>97155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53200" y="6461760"/>
          <a:ext cx="3297628" cy="241363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37514</xdr:colOff>
      <xdr:row>4</xdr:row>
      <xdr:rowOff>114300</xdr:rowOff>
    </xdr:from>
    <xdr:to>
      <xdr:col>3</xdr:col>
      <xdr:colOff>287655</xdr:colOff>
      <xdr:row>15</xdr:row>
      <xdr:rowOff>7620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7114" y="845820"/>
          <a:ext cx="3602941" cy="1905000"/>
        </a:xfrm>
        <a:prstGeom prst="rect">
          <a:avLst/>
        </a:prstGeom>
      </xdr:spPr>
    </xdr:pic>
    <xdr:clientData/>
  </xdr:twoCellAnchor>
  <xdr:twoCellAnchor>
    <xdr:from>
      <xdr:col>1</xdr:col>
      <xdr:colOff>28575</xdr:colOff>
      <xdr:row>17</xdr:row>
      <xdr:rowOff>38100</xdr:rowOff>
    </xdr:from>
    <xdr:to>
      <xdr:col>1</xdr:col>
      <xdr:colOff>762000</xdr:colOff>
      <xdr:row>17</xdr:row>
      <xdr:rowOff>152400</xdr:rowOff>
    </xdr:to>
    <xdr:sp macro="" textlink="">
      <xdr:nvSpPr>
        <xdr:cNvPr id="3" name="Rectangle 2"/>
        <xdr:cNvSpPr/>
      </xdr:nvSpPr>
      <xdr:spPr>
        <a:xfrm>
          <a:off x="638175" y="3147060"/>
          <a:ext cx="733425" cy="114300"/>
        </a:xfrm>
        <a:prstGeom prst="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592455</xdr:colOff>
      <xdr:row>27</xdr:row>
      <xdr:rowOff>0</xdr:rowOff>
    </xdr:from>
    <xdr:to>
      <xdr:col>2</xdr:col>
      <xdr:colOff>0</xdr:colOff>
      <xdr:row>27</xdr:row>
      <xdr:rowOff>175260</xdr:rowOff>
    </xdr:to>
    <xdr:sp macro="" textlink="">
      <xdr:nvSpPr>
        <xdr:cNvPr id="4" name="Rectangle 3"/>
        <xdr:cNvSpPr/>
      </xdr:nvSpPr>
      <xdr:spPr>
        <a:xfrm>
          <a:off x="592455" y="4937760"/>
          <a:ext cx="1777365" cy="175260"/>
        </a:xfrm>
        <a:prstGeom prst="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4</xdr:col>
      <xdr:colOff>541020</xdr:colOff>
      <xdr:row>33</xdr:row>
      <xdr:rowOff>60960</xdr:rowOff>
    </xdr:from>
    <xdr:to>
      <xdr:col>6</xdr:col>
      <xdr:colOff>1011628</xdr:colOff>
      <xdr:row>47</xdr:row>
      <xdr:rowOff>81915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81800" y="6096000"/>
          <a:ext cx="3297628" cy="258127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37514</xdr:colOff>
      <xdr:row>4</xdr:row>
      <xdr:rowOff>114300</xdr:rowOff>
    </xdr:from>
    <xdr:to>
      <xdr:col>2</xdr:col>
      <xdr:colOff>2078355</xdr:colOff>
      <xdr:row>15</xdr:row>
      <xdr:rowOff>7620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7114" y="845820"/>
          <a:ext cx="3602941" cy="1905000"/>
        </a:xfrm>
        <a:prstGeom prst="rect">
          <a:avLst/>
        </a:prstGeom>
      </xdr:spPr>
    </xdr:pic>
    <xdr:clientData/>
  </xdr:twoCellAnchor>
  <xdr:twoCellAnchor>
    <xdr:from>
      <xdr:col>1</xdr:col>
      <xdr:colOff>28575</xdr:colOff>
      <xdr:row>17</xdr:row>
      <xdr:rowOff>38100</xdr:rowOff>
    </xdr:from>
    <xdr:to>
      <xdr:col>1</xdr:col>
      <xdr:colOff>762000</xdr:colOff>
      <xdr:row>17</xdr:row>
      <xdr:rowOff>152400</xdr:rowOff>
    </xdr:to>
    <xdr:sp macro="" textlink="">
      <xdr:nvSpPr>
        <xdr:cNvPr id="3" name="Rectangle 2"/>
        <xdr:cNvSpPr/>
      </xdr:nvSpPr>
      <xdr:spPr>
        <a:xfrm>
          <a:off x="638175" y="3147060"/>
          <a:ext cx="733425" cy="114300"/>
        </a:xfrm>
        <a:prstGeom prst="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592455</xdr:colOff>
      <xdr:row>27</xdr:row>
      <xdr:rowOff>0</xdr:rowOff>
    </xdr:from>
    <xdr:to>
      <xdr:col>2</xdr:col>
      <xdr:colOff>0</xdr:colOff>
      <xdr:row>27</xdr:row>
      <xdr:rowOff>175260</xdr:rowOff>
    </xdr:to>
    <xdr:sp macro="" textlink="">
      <xdr:nvSpPr>
        <xdr:cNvPr id="4" name="Rectangle 3"/>
        <xdr:cNvSpPr/>
      </xdr:nvSpPr>
      <xdr:spPr>
        <a:xfrm>
          <a:off x="592455" y="4937760"/>
          <a:ext cx="2486025" cy="175260"/>
        </a:xfrm>
        <a:prstGeom prst="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4</xdr:col>
      <xdr:colOff>541020</xdr:colOff>
      <xdr:row>33</xdr:row>
      <xdr:rowOff>60960</xdr:rowOff>
    </xdr:from>
    <xdr:to>
      <xdr:col>6</xdr:col>
      <xdr:colOff>562048</xdr:colOff>
      <xdr:row>47</xdr:row>
      <xdr:rowOff>165735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7620" y="6096000"/>
          <a:ext cx="3297628" cy="2665095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37514</xdr:colOff>
      <xdr:row>5</xdr:row>
      <xdr:rowOff>114300</xdr:rowOff>
    </xdr:from>
    <xdr:to>
      <xdr:col>3</xdr:col>
      <xdr:colOff>920115</xdr:colOff>
      <xdr:row>16</xdr:row>
      <xdr:rowOff>7620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7114" y="1028700"/>
          <a:ext cx="3602941" cy="1905000"/>
        </a:xfrm>
        <a:prstGeom prst="rect">
          <a:avLst/>
        </a:prstGeom>
      </xdr:spPr>
    </xdr:pic>
    <xdr:clientData/>
  </xdr:twoCellAnchor>
  <xdr:twoCellAnchor>
    <xdr:from>
      <xdr:col>1</xdr:col>
      <xdr:colOff>28575</xdr:colOff>
      <xdr:row>18</xdr:row>
      <xdr:rowOff>38100</xdr:rowOff>
    </xdr:from>
    <xdr:to>
      <xdr:col>1</xdr:col>
      <xdr:colOff>762000</xdr:colOff>
      <xdr:row>18</xdr:row>
      <xdr:rowOff>152400</xdr:rowOff>
    </xdr:to>
    <xdr:sp macro="" textlink="">
      <xdr:nvSpPr>
        <xdr:cNvPr id="3" name="Rectangle 2"/>
        <xdr:cNvSpPr/>
      </xdr:nvSpPr>
      <xdr:spPr>
        <a:xfrm>
          <a:off x="638175" y="3329940"/>
          <a:ext cx="733425" cy="114300"/>
        </a:xfrm>
        <a:prstGeom prst="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28575</xdr:colOff>
      <xdr:row>35</xdr:row>
      <xdr:rowOff>38100</xdr:rowOff>
    </xdr:from>
    <xdr:to>
      <xdr:col>1</xdr:col>
      <xdr:colOff>762000</xdr:colOff>
      <xdr:row>35</xdr:row>
      <xdr:rowOff>152400</xdr:rowOff>
    </xdr:to>
    <xdr:sp macro="" textlink="">
      <xdr:nvSpPr>
        <xdr:cNvPr id="4" name="Rectangle 3"/>
        <xdr:cNvSpPr/>
      </xdr:nvSpPr>
      <xdr:spPr>
        <a:xfrm>
          <a:off x="638175" y="6438900"/>
          <a:ext cx="733425" cy="114300"/>
        </a:xfrm>
        <a:prstGeom prst="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4</xdr:col>
      <xdr:colOff>647700</xdr:colOff>
      <xdr:row>46</xdr:row>
      <xdr:rowOff>9525</xdr:rowOff>
    </xdr:from>
    <xdr:to>
      <xdr:col>6</xdr:col>
      <xdr:colOff>790648</xdr:colOff>
      <xdr:row>58</xdr:row>
      <xdr:rowOff>60960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13220" y="8422005"/>
          <a:ext cx="3297628" cy="224599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%20WEB%20SPK%20AHP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ERHITUNGAN%20AHP%20OPERAT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JABATAN"/>
      <sheetName val="DATA DIVISI"/>
      <sheetName val="DATA OPERATOR"/>
      <sheetName val="DATA KEPALA DIVISI"/>
      <sheetName val="DATA KRITERIA OPERATOR"/>
      <sheetName val="DATA KRITERIA KASI"/>
      <sheetName val="Data Subrange OP"/>
      <sheetName val="Data Subrange Kasi"/>
      <sheetName val="DATA KUISIONER OP"/>
      <sheetName val="DATA KUISIONER KASI"/>
      <sheetName val="DATA PENILAIAN KARYAWAN OP"/>
      <sheetName val="DATA PENILAIAN KA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1">
          <cell r="B31" t="str">
            <v>Nama</v>
          </cell>
          <cell r="C31" t="str">
            <v>Divisi</v>
          </cell>
          <cell r="D31" t="str">
            <v>KRITERI PENILAIAN</v>
          </cell>
        </row>
        <row r="32">
          <cell r="D32" t="str">
            <v>Leadership</v>
          </cell>
          <cell r="E32" t="str">
            <v>Productivity</v>
          </cell>
          <cell r="F32" t="str">
            <v xml:space="preserve">Kemampuan Pemecahan Masalah </v>
          </cell>
          <cell r="G32" t="str">
            <v>Realisasi SOP/SPK</v>
          </cell>
          <cell r="H32" t="str">
            <v>Dokumentasi</v>
          </cell>
          <cell r="I32" t="str">
            <v>Pelaksanaan 5R</v>
          </cell>
          <cell r="J32" t="str">
            <v>Pelaksanaan K3</v>
          </cell>
          <cell r="K32" t="str">
            <v>kehadiran</v>
          </cell>
          <cell r="L32" t="str">
            <v>kedisipilinan</v>
          </cell>
          <cell r="M32" t="str">
            <v>Inisiatif</v>
          </cell>
        </row>
        <row r="33">
          <cell r="B33" t="str">
            <v>Zaenal Arifin</v>
          </cell>
          <cell r="C33" t="str">
            <v>Automotive Welding</v>
          </cell>
          <cell r="D33" t="str">
            <v>Baik</v>
          </cell>
          <cell r="E33" t="str">
            <v>Pekerjaan selesai 80-90%</v>
          </cell>
          <cell r="F33" t="str">
            <v>Mampu</v>
          </cell>
          <cell r="G33" t="str">
            <v>Mampu</v>
          </cell>
          <cell r="H33" t="str">
            <v>Lengkap</v>
          </cell>
          <cell r="I33" t="str">
            <v>Kurang melaksanakan</v>
          </cell>
          <cell r="J33" t="str">
            <v>Melaksanakan</v>
          </cell>
          <cell r="K33" t="str">
            <v>Hadir &gt;=90%</v>
          </cell>
          <cell r="L33" t="str">
            <v>Tidak ada Pelanggaran</v>
          </cell>
          <cell r="M33" t="str">
            <v>Bagus</v>
          </cell>
        </row>
        <row r="34">
          <cell r="B34" t="str">
            <v>Bahrul Rosi</v>
          </cell>
          <cell r="C34" t="str">
            <v>Industrial Welding</v>
          </cell>
          <cell r="D34" t="str">
            <v>Sangat Baik</v>
          </cell>
          <cell r="E34" t="str">
            <v>Pekerjaan selesai 80-90%</v>
          </cell>
          <cell r="F34" t="str">
            <v>Kurang Mampu</v>
          </cell>
          <cell r="G34" t="str">
            <v>Kurang Mampu</v>
          </cell>
          <cell r="H34" t="str">
            <v>Lengkap</v>
          </cell>
          <cell r="I34" t="str">
            <v>Kurang melaksanakan</v>
          </cell>
          <cell r="J34" t="str">
            <v>Kurang melaksanakan</v>
          </cell>
          <cell r="K34" t="str">
            <v>Hadir &gt;=90%</v>
          </cell>
          <cell r="L34" t="str">
            <v>Sedikit Pelanggaran</v>
          </cell>
          <cell r="M34" t="str">
            <v>Bagus</v>
          </cell>
        </row>
        <row r="35">
          <cell r="B35" t="str">
            <v>Cahyo Kumolo</v>
          </cell>
          <cell r="C35" t="str">
            <v>Blower</v>
          </cell>
          <cell r="D35" t="str">
            <v>Kurang</v>
          </cell>
          <cell r="E35" t="str">
            <v>Pekerjaan selesai 60-79%</v>
          </cell>
          <cell r="F35" t="str">
            <v>Mampu</v>
          </cell>
          <cell r="G35" t="str">
            <v>Mampu</v>
          </cell>
          <cell r="H35" t="str">
            <v>Kurang Lengkap</v>
          </cell>
          <cell r="I35" t="str">
            <v>Kurang melaksanakan</v>
          </cell>
          <cell r="J35" t="str">
            <v>Kurang melaksanakan</v>
          </cell>
          <cell r="K35" t="str">
            <v>Hadir &gt;=90%</v>
          </cell>
          <cell r="L35" t="str">
            <v>Sedikit Pelanggaran</v>
          </cell>
          <cell r="M35" t="str">
            <v>Kurang</v>
          </cell>
        </row>
        <row r="36">
          <cell r="B36" t="str">
            <v>Elysa Anggraini</v>
          </cell>
          <cell r="C36" t="str">
            <v>General Affair</v>
          </cell>
          <cell r="D36" t="str">
            <v>Kurang</v>
          </cell>
          <cell r="E36" t="str">
            <v>Pekerjaan selesai 60-79%</v>
          </cell>
          <cell r="F36" t="str">
            <v>Kurang Mampu</v>
          </cell>
          <cell r="G36" t="str">
            <v>Kurang Mampu</v>
          </cell>
          <cell r="H36" t="str">
            <v>Kurang Lengkap</v>
          </cell>
          <cell r="I36" t="str">
            <v>Kurang melaksanakan</v>
          </cell>
          <cell r="J36" t="str">
            <v>Kurang melaksanakan</v>
          </cell>
          <cell r="K36" t="str">
            <v>Hadir 100%</v>
          </cell>
          <cell r="L36" t="str">
            <v>Sedikit Pelanggaran</v>
          </cell>
          <cell r="M36" t="str">
            <v>Bagus</v>
          </cell>
        </row>
        <row r="37">
          <cell r="B37" t="str">
            <v>Rufiyanto</v>
          </cell>
          <cell r="C37" t="str">
            <v>Industrial Repair</v>
          </cell>
          <cell r="D37" t="str">
            <v>Sangat Baik</v>
          </cell>
          <cell r="E37" t="str">
            <v>Pekerjaan selesai 80-90%</v>
          </cell>
          <cell r="F37" t="str">
            <v>Mampu</v>
          </cell>
          <cell r="G37" t="str">
            <v>Mampu</v>
          </cell>
          <cell r="H37" t="str">
            <v>Lengkap</v>
          </cell>
          <cell r="I37" t="str">
            <v>Kurang Melaksanakan</v>
          </cell>
          <cell r="J37" t="str">
            <v>Kurang melaksanakan</v>
          </cell>
          <cell r="K37" t="str">
            <v>Hadir 100%</v>
          </cell>
          <cell r="L37" t="str">
            <v>Tidak ada Pelanggaran</v>
          </cell>
          <cell r="M37" t="str">
            <v>Bagus</v>
          </cell>
        </row>
        <row r="38">
          <cell r="B38" t="str">
            <v>Dimas Eka</v>
          </cell>
          <cell r="C38" t="str">
            <v>Warehouse</v>
          </cell>
          <cell r="D38" t="str">
            <v>Baik</v>
          </cell>
          <cell r="E38" t="str">
            <v>Pekerjaan selesai 80-90%</v>
          </cell>
          <cell r="F38" t="str">
            <v>Mampu</v>
          </cell>
          <cell r="G38" t="str">
            <v>Mampu</v>
          </cell>
          <cell r="H38" t="str">
            <v>Lengkap</v>
          </cell>
          <cell r="I38" t="str">
            <v>Kurang Melaksanakan</v>
          </cell>
          <cell r="J38" t="str">
            <v>Kurang melaksanakan</v>
          </cell>
          <cell r="K38" t="str">
            <v>Hadir 100%</v>
          </cell>
          <cell r="L38" t="str">
            <v>Sedikit Pelanggaran</v>
          </cell>
          <cell r="M38" t="str">
            <v>Bagus</v>
          </cell>
        </row>
        <row r="39">
          <cell r="B39" t="str">
            <v>Dani Arief Bahtiar</v>
          </cell>
          <cell r="C39" t="str">
            <v>Fabrikasi</v>
          </cell>
          <cell r="D39" t="str">
            <v>Baik</v>
          </cell>
          <cell r="E39" t="str">
            <v>Pekerjaan selesai 60-79%</v>
          </cell>
          <cell r="F39" t="str">
            <v>Kurang Mampu</v>
          </cell>
          <cell r="G39" t="str">
            <v>Mampu</v>
          </cell>
          <cell r="H39" t="str">
            <v>Lengkap</v>
          </cell>
          <cell r="I39" t="str">
            <v>Kurang Melaksanakan</v>
          </cell>
          <cell r="J39" t="str">
            <v>Kurang melaksanakan</v>
          </cell>
          <cell r="K39" t="str">
            <v>Hadir 100%</v>
          </cell>
          <cell r="L39" t="str">
            <v>Sedikit Pelanggaran</v>
          </cell>
          <cell r="M39" t="str">
            <v>Bagus</v>
          </cell>
        </row>
        <row r="40">
          <cell r="B40" t="str">
            <v>M. Rodi</v>
          </cell>
          <cell r="C40" t="str">
            <v>Colter</v>
          </cell>
          <cell r="D40" t="str">
            <v>Sangat Baik</v>
          </cell>
          <cell r="E40" t="str">
            <v>Pekerjaan selesai 80-90%</v>
          </cell>
          <cell r="F40" t="str">
            <v>Mampu</v>
          </cell>
          <cell r="G40" t="str">
            <v>Kurang Mampu</v>
          </cell>
          <cell r="H40" t="str">
            <v>Kurang Lengkap</v>
          </cell>
          <cell r="I40" t="str">
            <v>Kurang melaksanakan</v>
          </cell>
          <cell r="J40" t="str">
            <v>Melaksanakan</v>
          </cell>
          <cell r="K40" t="str">
            <v>Hadir 100%</v>
          </cell>
          <cell r="L40" t="str">
            <v>Tidak ada Pelanggaran</v>
          </cell>
          <cell r="M40" t="str">
            <v>Bagus</v>
          </cell>
        </row>
        <row r="41">
          <cell r="B41" t="str">
            <v>Rusmanto</v>
          </cell>
          <cell r="C41" t="str">
            <v>Connecting Rod</v>
          </cell>
          <cell r="D41" t="str">
            <v>Sangat Baik</v>
          </cell>
          <cell r="E41" t="str">
            <v>Pekerjaan selesai 80-90%</v>
          </cell>
          <cell r="F41" t="str">
            <v>Mampu</v>
          </cell>
          <cell r="G41" t="str">
            <v>Mampu</v>
          </cell>
          <cell r="H41" t="str">
            <v>Lengkap</v>
          </cell>
          <cell r="I41" t="str">
            <v>Melaksanakan</v>
          </cell>
          <cell r="J41" t="str">
            <v>Kurang melaksanakan</v>
          </cell>
          <cell r="K41" t="str">
            <v>Hadir 100%</v>
          </cell>
          <cell r="L41" t="str">
            <v>Tidak ada Pelanggaran</v>
          </cell>
          <cell r="M41" t="str">
            <v>Bagus</v>
          </cell>
        </row>
        <row r="42">
          <cell r="B42" t="str">
            <v>Halimin Eko Budianto</v>
          </cell>
          <cell r="C42" t="str">
            <v>Cylinder Cop</v>
          </cell>
          <cell r="D42" t="str">
            <v>Kurang</v>
          </cell>
          <cell r="E42" t="str">
            <v>Pekerjaan selesai 80-90%</v>
          </cell>
          <cell r="F42" t="str">
            <v>Kurang Mampu</v>
          </cell>
          <cell r="G42" t="str">
            <v>Kurang Mampu</v>
          </cell>
          <cell r="H42" t="str">
            <v>Kurang Lengkap</v>
          </cell>
          <cell r="I42" t="str">
            <v>Kurang melaksanakan</v>
          </cell>
          <cell r="J42" t="str">
            <v>Kurang melaksanakan</v>
          </cell>
          <cell r="K42" t="str">
            <v>Hadir 80-90%</v>
          </cell>
          <cell r="L42" t="str">
            <v>Sedikit Pelanggaran</v>
          </cell>
          <cell r="M42" t="str">
            <v>Kurang</v>
          </cell>
        </row>
        <row r="43">
          <cell r="B43" t="str">
            <v>Akbar Bintang</v>
          </cell>
          <cell r="C43" t="str">
            <v>Digital Marketing</v>
          </cell>
          <cell r="D43" t="str">
            <v>Baik</v>
          </cell>
          <cell r="E43" t="str">
            <v>Pekerjaan selesai &gt; 90%</v>
          </cell>
          <cell r="F43" t="str">
            <v>Mampu</v>
          </cell>
          <cell r="G43" t="str">
            <v>Mampu</v>
          </cell>
          <cell r="H43" t="str">
            <v>Sangat Lengkap</v>
          </cell>
          <cell r="I43" t="str">
            <v>Kurang Melaksanakan</v>
          </cell>
          <cell r="J43" t="str">
            <v>Kurang melaksanakan</v>
          </cell>
          <cell r="K43" t="str">
            <v>Hadir 80-90%</v>
          </cell>
          <cell r="L43" t="str">
            <v>Tidak ada Pelanggaran</v>
          </cell>
          <cell r="M43" t="str">
            <v>Bagus</v>
          </cell>
        </row>
        <row r="44">
          <cell r="B44" t="str">
            <v>Arief Setiawan</v>
          </cell>
          <cell r="C44" t="str">
            <v>Automotive dan Marketing</v>
          </cell>
          <cell r="D44" t="str">
            <v>Baik</v>
          </cell>
          <cell r="E44" t="str">
            <v>Pekerjaan selesai 80-90%</v>
          </cell>
          <cell r="F44" t="str">
            <v>Mampu</v>
          </cell>
          <cell r="G44" t="str">
            <v>Sangat Mampu</v>
          </cell>
          <cell r="H44" t="str">
            <v>Lengkap</v>
          </cell>
          <cell r="I44" t="str">
            <v>Kurang Melaksanakan</v>
          </cell>
          <cell r="J44" t="str">
            <v>Kurang Melaksanakan</v>
          </cell>
          <cell r="K44" t="str">
            <v>Hadir &gt;=90%</v>
          </cell>
          <cell r="L44" t="str">
            <v>Sedikit Pelanggaran</v>
          </cell>
          <cell r="M44" t="str">
            <v>Bagus</v>
          </cell>
        </row>
        <row r="45">
          <cell r="B45" t="str">
            <v>Ahmad Doni Bait</v>
          </cell>
          <cell r="C45" t="str">
            <v>Electrical</v>
          </cell>
          <cell r="D45" t="str">
            <v>Kurang</v>
          </cell>
          <cell r="E45" t="str">
            <v>Pekerjaan selesai 60-79%</v>
          </cell>
          <cell r="F45" t="str">
            <v>Kurang Mampu</v>
          </cell>
          <cell r="G45" t="str">
            <v>Mampu</v>
          </cell>
          <cell r="H45" t="str">
            <v>Sangat Lengkap</v>
          </cell>
          <cell r="I45" t="str">
            <v>Kurang melaksanakan</v>
          </cell>
          <cell r="J45" t="str">
            <v>Kurang melaksanakan</v>
          </cell>
          <cell r="K45" t="str">
            <v>Hadir 100%</v>
          </cell>
          <cell r="L45" t="str">
            <v>Sedikit Pelanggaran</v>
          </cell>
          <cell r="M45" t="str">
            <v>Kurang</v>
          </cell>
        </row>
        <row r="46">
          <cell r="B46" t="str">
            <v>Denny Susanto</v>
          </cell>
          <cell r="C46" t="str">
            <v>Finance</v>
          </cell>
          <cell r="D46" t="str">
            <v>Baik</v>
          </cell>
          <cell r="E46" t="str">
            <v>Pekerjaan selesai 80-90%</v>
          </cell>
          <cell r="F46" t="str">
            <v>Mampu</v>
          </cell>
          <cell r="G46" t="str">
            <v>Tidak Mampu</v>
          </cell>
          <cell r="H46" t="str">
            <v>Kurang Lengkap</v>
          </cell>
          <cell r="I46" t="str">
            <v>Kurang Melaksanakan</v>
          </cell>
          <cell r="J46" t="str">
            <v>Kurang melaksanakan</v>
          </cell>
          <cell r="K46" t="str">
            <v>Hadir &gt;=90%</v>
          </cell>
          <cell r="L46" t="str">
            <v>Sedikit Pelanggaran</v>
          </cell>
          <cell r="M46" t="str">
            <v>Kurang</v>
          </cell>
        </row>
        <row r="47">
          <cell r="B47" t="str">
            <v>Singgih Andriyanto</v>
          </cell>
          <cell r="C47" t="str">
            <v>Lathe Konvensional</v>
          </cell>
          <cell r="D47" t="str">
            <v>Baik</v>
          </cell>
          <cell r="E47" t="str">
            <v>Pekerjaan selesai 80-90%</v>
          </cell>
          <cell r="F47" t="str">
            <v>Kurang Mampu</v>
          </cell>
          <cell r="G47" t="str">
            <v>Mampu</v>
          </cell>
          <cell r="H47" t="str">
            <v>Kurang Lengkap</v>
          </cell>
          <cell r="I47" t="str">
            <v>Kurang melaksanakan</v>
          </cell>
          <cell r="J47" t="str">
            <v>Kurang melaksanakan</v>
          </cell>
          <cell r="K47" t="str">
            <v>Hadir &gt;=90%</v>
          </cell>
          <cell r="L47" t="str">
            <v>Sedikit Pelanggaran</v>
          </cell>
          <cell r="M47" t="str">
            <v>Bagus</v>
          </cell>
        </row>
        <row r="48">
          <cell r="B48" t="str">
            <v>Dhonny Ari</v>
          </cell>
          <cell r="C48" t="str">
            <v>Line Boring</v>
          </cell>
          <cell r="D48" t="str">
            <v>Baik</v>
          </cell>
          <cell r="E48" t="str">
            <v>Pekerjaan selesai 80-90%</v>
          </cell>
          <cell r="F48" t="str">
            <v>Kurang Mampu</v>
          </cell>
          <cell r="G48" t="str">
            <v>Mampu</v>
          </cell>
          <cell r="H48" t="str">
            <v>Lengkap</v>
          </cell>
          <cell r="I48" t="str">
            <v>Kurang melaksanakan</v>
          </cell>
          <cell r="J48" t="str">
            <v>Kurang melaksanakan</v>
          </cell>
          <cell r="K48" t="str">
            <v>Hadir 100%</v>
          </cell>
          <cell r="L48" t="str">
            <v>Tidak ada Pelanggaran</v>
          </cell>
          <cell r="M48" t="str">
            <v>Bagus</v>
          </cell>
        </row>
        <row r="49">
          <cell r="B49" t="str">
            <v>Taufik Ismail</v>
          </cell>
          <cell r="C49" t="str">
            <v>Miling</v>
          </cell>
          <cell r="D49" t="str">
            <v>Baik</v>
          </cell>
          <cell r="E49" t="str">
            <v>Pekerjaan selesai 80-90%</v>
          </cell>
          <cell r="F49" t="str">
            <v>Mampu</v>
          </cell>
          <cell r="G49" t="str">
            <v>Mampu</v>
          </cell>
          <cell r="H49" t="str">
            <v>Lengkap</v>
          </cell>
          <cell r="I49" t="str">
            <v>Kurang melaksanakan</v>
          </cell>
          <cell r="J49" t="str">
            <v>Kurang melaksanakan</v>
          </cell>
          <cell r="K49" t="str">
            <v>Hadir &gt;=90%</v>
          </cell>
          <cell r="L49" t="str">
            <v>Tidak ada Pelanggaran</v>
          </cell>
          <cell r="M49" t="str">
            <v>Bagus</v>
          </cell>
        </row>
        <row r="50">
          <cell r="B50" t="str">
            <v>Slamet Sulton</v>
          </cell>
          <cell r="C50" t="str">
            <v>Surface Grinding</v>
          </cell>
          <cell r="D50" t="str">
            <v>Kurang</v>
          </cell>
          <cell r="E50" t="str">
            <v>Pekerjaan selesai 60-79%</v>
          </cell>
          <cell r="F50" t="str">
            <v>Kurang Mampu</v>
          </cell>
          <cell r="G50" t="str">
            <v>Mampu</v>
          </cell>
          <cell r="H50" t="str">
            <v>Lengkap</v>
          </cell>
          <cell r="I50" t="str">
            <v>Kurang melaksanakan</v>
          </cell>
          <cell r="J50" t="str">
            <v>Kurang melaksanakan</v>
          </cell>
          <cell r="K50" t="str">
            <v>Hadir 100%</v>
          </cell>
          <cell r="L50" t="str">
            <v>Sedikit Pelanggaran</v>
          </cell>
          <cell r="M50" t="str">
            <v>Kurang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ILAI KRITERIA"/>
      <sheetName val="PRODUCTIVITY"/>
      <sheetName val="KOMUNIKASI &amp; KERJASAMA"/>
      <sheetName val="Pelaksanaan 5R"/>
      <sheetName val="DOKUMENTASI"/>
      <sheetName val="Pemahaman &amp; Pelaksanaan K3"/>
      <sheetName val="Pemahaman SOP &amp; SPK"/>
      <sheetName val="PEMAHAMAN TOOLS"/>
      <sheetName val="KEHADIRAN"/>
      <sheetName val="KEDISIPILINAN"/>
      <sheetName val="INISIATI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ables/table1.xml><?xml version="1.0" encoding="utf-8"?>
<table xmlns="http://schemas.openxmlformats.org/spreadsheetml/2006/main" id="1" name="Table4" displayName="Table4" ref="B18:L34" totalsRowShown="0" headerRowDxfId="150" dataDxfId="149">
  <autoFilter ref="B18:L34"/>
  <tableColumns count="11">
    <tableColumn id="1" name="Column1" dataDxfId="148"/>
    <tableColumn id="2" name="Leadership" dataDxfId="147"/>
    <tableColumn id="3" name="Productivity" dataDxfId="146"/>
    <tableColumn id="4" name="Kemampuan Pemecahan Masalah" dataDxfId="145"/>
    <tableColumn id="5" name="Realisasi SOP /SPK" dataDxfId="144"/>
    <tableColumn id="6" name="Dokumentasi" dataDxfId="143"/>
    <tableColumn id="7" name="Pelaksanaan 5R" dataDxfId="142"/>
    <tableColumn id="8" name="Pelaksanaan / penerapan K3" dataDxfId="141"/>
    <tableColumn id="9" name="Kehadiran" dataDxfId="140"/>
    <tableColumn id="10" name="Kedisiplinan" dataDxfId="139"/>
    <tableColumn id="11" name="Inisiatif" dataDxfId="138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6" name="Table11141618" displayName="Table11141618" ref="G29:H34" totalsRowShown="0" headerRowDxfId="81" dataDxfId="80">
  <autoFilter ref="G29:H34"/>
  <tableColumns count="2">
    <tableColumn id="2" name="JUMLAH" dataDxfId="79">
      <calculatedColumnFormula>SUM(E36:L36)</calculatedColumnFormula>
    </tableColumn>
    <tableColumn id="3" name="PRIORITAS" dataDxfId="78">
      <calculatedColumnFormula>[2]!Table47[[#This Row],[JUMLAH]]/10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7" name="Table481315" displayName="Table481315" ref="B18:F28" totalsRowShown="0" headerRowDxfId="77" dataDxfId="76">
  <autoFilter ref="B18:F28"/>
  <tableColumns count="5">
    <tableColumn id="1" name="Column1" dataDxfId="75"/>
    <tableColumn id="2" name="Sangat Lengkap dan sesuai" dataDxfId="74"/>
    <tableColumn id="3" name="Lengkap" dataDxfId="73"/>
    <tableColumn id="4" name="Kurang Lengkap dan tidak sesuai" dataDxfId="72"/>
    <tableColumn id="5" name="Tidak Mampu" dataDxfId="71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8" name="Table111416" displayName="Table111416" ref="G29:H34" totalsRowShown="0" headerRowDxfId="70" dataDxfId="69">
  <autoFilter ref="G29:H34"/>
  <tableColumns count="2">
    <tableColumn id="2" name="JUMLAH" dataDxfId="68">
      <calculatedColumnFormula>SUM(E36:L36)</calculatedColumnFormula>
    </tableColumn>
    <tableColumn id="3" name="PRIORITAS" dataDxfId="67">
      <calculatedColumnFormula>[2]!Table47[[#This Row],[JUMLAH]]/10</calculatedColumnFormula>
    </tableColumn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9" name="Table4813151721" displayName="Table4813151721" ref="B18:E27" totalsRowShown="0" headerRowDxfId="66" dataDxfId="65">
  <autoFilter ref="B18:E27"/>
  <tableColumns count="4">
    <tableColumn id="1" name="Column1" dataDxfId="64"/>
    <tableColumn id="2" name="Melaksanakan" dataDxfId="63"/>
    <tableColumn id="3" name="Kurang Melaksanakan " dataDxfId="62"/>
    <tableColumn id="4" name="Tidak Melaksanakan" dataDxfId="61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0" name="Table1114161822" displayName="Table1114161822" ref="F28:G32" totalsRowShown="0" headerRowDxfId="60" dataDxfId="59">
  <autoFilter ref="F28:G32"/>
  <tableColumns count="2">
    <tableColumn id="2" name="JUMLAH" dataDxfId="58">
      <calculatedColumnFormula>SUM(E35:L35)</calculatedColumnFormula>
    </tableColumn>
    <tableColumn id="3" name="PRIORITAS" dataDxfId="57">
      <calculatedColumnFormula>[2]!Table47[[#This Row],[JUMLAH]]/10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1" name="Table481315172123" displayName="Table481315172123" ref="B18:E27" totalsRowShown="0" headerRowDxfId="56" dataDxfId="55">
  <autoFilter ref="B18:E27"/>
  <tableColumns count="4">
    <tableColumn id="1" name="Column1" dataDxfId="54"/>
    <tableColumn id="2" name="Melaksanakan" dataDxfId="53"/>
    <tableColumn id="3" name="Kurang Melakasanakan" dataDxfId="52"/>
    <tableColumn id="4" name="Tidak  Melaksanakan" dataDxfId="51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2" name="Table111416182224" displayName="Table111416182224" ref="F28:G32" totalsRowShown="0" headerRowDxfId="50" dataDxfId="49">
  <autoFilter ref="F28:G32"/>
  <tableColumns count="2">
    <tableColumn id="2" name="JUMLAH" dataDxfId="48">
      <calculatedColumnFormula>SUM(E35:L35)</calculatedColumnFormula>
    </tableColumn>
    <tableColumn id="3" name="PRIORITAS" dataDxfId="47">
      <calculatedColumnFormula>[2]!Table47[[#This Row],[JUMLAH]]/10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3" name="Table4734" displayName="Table4734" ref="B36:M45" totalsRowShown="0" headerRowDxfId="46" dataDxfId="45">
  <autoFilter ref="B36:M45"/>
  <tableColumns count="12">
    <tableColumn id="1" name="Column1" dataDxfId="44"/>
    <tableColumn id="2" name="Hadir 100%" dataDxfId="43">
      <calculatedColumnFormula>C20/$C$29</calculatedColumnFormula>
    </tableColumn>
    <tableColumn id="3" name="Hadir 100% ada terlambat" dataDxfId="42">
      <calculatedColumnFormula>D20/$D$28</calculatedColumnFormula>
    </tableColumn>
    <tableColumn id="4" name="Hadir &gt; 90 % " dataDxfId="41">
      <calculatedColumnFormula>E20/$E$28</calculatedColumnFormula>
    </tableColumn>
    <tableColumn id="5" name="Hadir &gt;90 % ada terlambat" dataDxfId="40">
      <calculatedColumnFormula>F20/$F$29</calculatedColumnFormula>
    </tableColumn>
    <tableColumn id="6" name="Hadir 80-90 % " dataDxfId="39">
      <calculatedColumnFormula>G20/$G$29</calculatedColumnFormula>
    </tableColumn>
    <tableColumn id="7" name="Hadir 80-90 % ada terlambat" dataDxfId="38">
      <calculatedColumnFormula>H20/$H$29</calculatedColumnFormula>
    </tableColumn>
    <tableColumn id="12" name="Hadir &lt; 80 %" dataDxfId="37"/>
    <tableColumn id="13" name="Hadir &lt; 80 %Aada terlambat" dataDxfId="36"/>
    <tableColumn id="8" name="JUMLAH" dataDxfId="35"/>
    <tableColumn id="9" name="PRIORITAS" dataDxfId="34"/>
    <tableColumn id="10" name="EIGEN VALUE" dataDxfId="33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14" name="Table433" displayName="Table433" ref="B19:J35" totalsRowShown="0" headerRowDxfId="32" dataDxfId="31">
  <autoFilter ref="B19:J35"/>
  <tableColumns count="9">
    <tableColumn id="1" name="Column1" dataDxfId="30"/>
    <tableColumn id="2" name="Hadir 100%" dataDxfId="29"/>
    <tableColumn id="3" name="Hadir 100% ada terlambat" dataDxfId="28"/>
    <tableColumn id="4" name="Hadir &gt; 90 % " dataDxfId="27"/>
    <tableColumn id="5" name="Hadir &gt;90 % ada terlambat" dataDxfId="26"/>
    <tableColumn id="6" name="Hadir 80-90 % " dataDxfId="25"/>
    <tableColumn id="7" name="Hadir 80-90 % ada terlambat" dataDxfId="24"/>
    <tableColumn id="8" name="Hadir &lt; 80 %" dataDxfId="23"/>
    <tableColumn id="9" name="Hadir &lt;80 % ada terlambat" dataDxfId="22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15" name="Table481315172123272" displayName="Table481315172123272" ref="B18:E27" totalsRowShown="0" headerRowDxfId="21" dataDxfId="20">
  <autoFilter ref="B18:E27"/>
  <tableColumns count="4">
    <tableColumn id="1" name="Column1" dataDxfId="19"/>
    <tableColumn id="2" name="Tidak Ada Pelanggaran" dataDxfId="18"/>
    <tableColumn id="3" name="Sedikit Pelanggaran " dataDxfId="17"/>
    <tableColumn id="4" name="Banyak Pelanggaran" dataDxfId="1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47" displayName="Table47" ref="B35:O46" totalsRowShown="0" headerRowDxfId="137" dataDxfId="136">
  <autoFilter ref="B35:O46"/>
  <tableColumns count="14">
    <tableColumn id="1" name="Column1" dataDxfId="135"/>
    <tableColumn id="2" name="Leadership" dataDxfId="134">
      <calculatedColumnFormula>C19/$C$29</calculatedColumnFormula>
    </tableColumn>
    <tableColumn id="3" name="Productivity" dataDxfId="133">
      <calculatedColumnFormula>D19/$D$29</calculatedColumnFormula>
    </tableColumn>
    <tableColumn id="4" name="Kemampuan Pemecahan Masalah" dataDxfId="132">
      <calculatedColumnFormula>E19/$E$29</calculatedColumnFormula>
    </tableColumn>
    <tableColumn id="5" name="Realisasi SOP /SPK" dataDxfId="131">
      <calculatedColumnFormula>F19/$F$29</calculatedColumnFormula>
    </tableColumn>
    <tableColumn id="6" name="Dokumentasi" dataDxfId="130">
      <calculatedColumnFormula>G19/$G$29</calculatedColumnFormula>
    </tableColumn>
    <tableColumn id="7" name="Pelaksanaan 5R" dataDxfId="129">
      <calculatedColumnFormula>H19/$H$29</calculatedColumnFormula>
    </tableColumn>
    <tableColumn id="8" name="Pelaksanaan / peerapan K3" dataDxfId="128">
      <calculatedColumnFormula>I19/$I$29</calculatedColumnFormula>
    </tableColumn>
    <tableColumn id="9" name="Kehadiran" dataDxfId="127">
      <calculatedColumnFormula>J19/$J$29</calculatedColumnFormula>
    </tableColumn>
    <tableColumn id="10" name="Kedisiplinan" dataDxfId="126">
      <calculatedColumnFormula>K19/$K$29</calculatedColumnFormula>
    </tableColumn>
    <tableColumn id="11" name="Inisiatif" dataDxfId="125">
      <calculatedColumnFormula>L19/$L$29</calculatedColumnFormula>
    </tableColumn>
    <tableColumn id="12" name="JUMLAH" dataDxfId="124">
      <calculatedColumnFormula>SUM(C36:L36)</calculatedColumnFormula>
    </tableColumn>
    <tableColumn id="13" name="PRIORITAS" dataDxfId="123">
      <calculatedColumnFormula>Table47[[#This Row],[JUMLAH]]/10</calculatedColumnFormula>
    </tableColumn>
    <tableColumn id="14" name="EIGEN VALUE" dataDxfId="122">
      <calculatedColumnFormula>$N36*D28</calculatedColumnFormula>
    </tableColumn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16" name="Table111416182224283" displayName="Table111416182224283" ref="F28:H32" totalsRowShown="0" headerRowDxfId="15" dataDxfId="14">
  <autoFilter ref="F28:H32"/>
  <tableColumns count="3">
    <tableColumn id="2" name="JUMLAH" dataDxfId="13">
      <calculatedColumnFormula>SUM(E35:L35)</calculatedColumnFormula>
    </tableColumn>
    <tableColumn id="3" name="PRIORITAS" dataDxfId="12">
      <calculatedColumnFormula>[2]!Table47[[#This Row],[JUMLAH]]/10</calculatedColumnFormula>
    </tableColumn>
    <tableColumn id="4" name="EIGEN VALUE" dataDxfId="11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17" name="Table4813151719" displayName="Table4813151719" ref="B18:F28" totalsRowShown="0" headerRowDxfId="10" dataDxfId="9">
  <autoFilter ref="B18:F28"/>
  <tableColumns count="5">
    <tableColumn id="1" name="Column1" dataDxfId="8"/>
    <tableColumn id="2" name="Sangat Bagus" dataDxfId="7"/>
    <tableColumn id="3" name="Bagus " dataDxfId="6"/>
    <tableColumn id="4" name="Kurang Bagus" dataDxfId="5"/>
    <tableColumn id="5" name="Tidak Mampu" dataDxfId="4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id="18" name="Table1114161820" displayName="Table1114161820" ref="G29:H34" totalsRowShown="0" headerRowDxfId="3" dataDxfId="2">
  <autoFilter ref="G29:H34"/>
  <tableColumns count="2">
    <tableColumn id="2" name="JUMLAH" dataDxfId="1">
      <calculatedColumnFormula>SUM(E36:L36)</calculatedColumnFormula>
    </tableColumn>
    <tableColumn id="3" name="PRIORITAS" dataDxfId="0">
      <calculatedColumnFormula>[2]!Table47[[#This Row],[JUMLAH]]/10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9" name="Table4813" displayName="Table4813" ref="B18:F28" totalsRowShown="0" headerRowDxfId="121" dataDxfId="120">
  <autoFilter ref="B18:F28"/>
  <tableColumns count="5">
    <tableColumn id="1" name="Column1" dataDxfId="119"/>
    <tableColumn id="2" name="Sangat Baik" dataDxfId="118"/>
    <tableColumn id="3" name="Baik " dataDxfId="117"/>
    <tableColumn id="4" name="Kurang" dataDxfId="116"/>
    <tableColumn id="5" name="Tidak Mampu" dataDxfId="115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0" name="Table1114" displayName="Table1114" ref="G29:H34" totalsRowShown="0" headerRowDxfId="114" dataDxfId="113">
  <autoFilter ref="G29:H34"/>
  <tableColumns count="2">
    <tableColumn id="2" name="JUMLAH" dataDxfId="112">
      <calculatedColumnFormula>SUM(E36:L36)</calculatedColumnFormula>
    </tableColumn>
    <tableColumn id="3" name="PRIORITAS" dataDxfId="111">
      <calculatedColumnFormula>[2]!Table47[[#This Row],[JUMLAH]]/10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3" name="Table48" displayName="Table48" ref="B18:F28" totalsRowShown="0" headerRowDxfId="110" dataDxfId="109">
  <autoFilter ref="B18:F28"/>
  <tableColumns count="5">
    <tableColumn id="1" name="Column1" dataDxfId="108"/>
    <tableColumn id="2" name="Pekerjaan selesai &gt;90%" dataDxfId="107"/>
    <tableColumn id="3" name="Pekerjaan selsesai 80 - 90 %" dataDxfId="106"/>
    <tableColumn id="4" name="Pekerjaan selesai 60 - 79%" dataDxfId="105"/>
    <tableColumn id="5" name="Pekerjaan selesai &lt; 60 %" dataDxfId="104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4" name="Table11" displayName="Table11" ref="G29:H34" totalsRowShown="0" headerRowDxfId="103" dataDxfId="102">
  <autoFilter ref="G29:H34"/>
  <tableColumns count="2">
    <tableColumn id="2" name="JUMLAH" dataDxfId="101">
      <calculatedColumnFormula>SUM(E36:L36)</calculatedColumnFormula>
    </tableColumn>
    <tableColumn id="3" name="PRIORITAS" dataDxfId="100">
      <calculatedColumnFormula>[2]!Table47[[#This Row],[JUMLAH]]/10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21" name="Table481315171922" displayName="Table481315171922" ref="B18:F28" totalsRowShown="0" headerRowDxfId="99" dataDxfId="98">
  <autoFilter ref="B18:F28"/>
  <tableColumns count="5">
    <tableColumn id="1" name="Column1" dataDxfId="97"/>
    <tableColumn id="2" name="Sangat Mampu" dataDxfId="96"/>
    <tableColumn id="3" name="Mampu " dataDxfId="95"/>
    <tableColumn id="4" name="Kurang Mampu" dataDxfId="94"/>
    <tableColumn id="5" name="Tidak Mampu" dataDxfId="93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22" name="Table111416182023" displayName="Table111416182023" ref="G29:H34" totalsRowShown="0" headerRowDxfId="92" dataDxfId="91">
  <autoFilter ref="G29:H34"/>
  <tableColumns count="2">
    <tableColumn id="2" name="JUMLAH" dataDxfId="90">
      <calculatedColumnFormula>SUM(E36:L36)</calculatedColumnFormula>
    </tableColumn>
    <tableColumn id="3" name="PRIORITAS" dataDxfId="89">
      <calculatedColumnFormula>[2]!Table47[[#This Row],[JUMLAH]]/10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5" name="Table48131517" displayName="Table48131517" ref="B18:F28" totalsRowShown="0" headerRowDxfId="88" dataDxfId="87">
  <autoFilter ref="B18:F28"/>
  <tableColumns count="5">
    <tableColumn id="1" name="Column1" dataDxfId="86"/>
    <tableColumn id="2" name="Sangat Mampu" dataDxfId="85"/>
    <tableColumn id="3" name="Mampu" dataDxfId="84"/>
    <tableColumn id="4" name="Kurang Mampu" dataDxfId="83"/>
    <tableColumn id="5" name="Tidak Mampu" dataDxfId="8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0.xml"/><Relationship Id="rId2" Type="http://schemas.openxmlformats.org/officeDocument/2006/relationships/table" Target="../tables/table19.xml"/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2.xml"/><Relationship Id="rId2" Type="http://schemas.openxmlformats.org/officeDocument/2006/relationships/table" Target="../tables/table21.xml"/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2" Type="http://schemas.openxmlformats.org/officeDocument/2006/relationships/table" Target="../tables/table13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6.xml"/><Relationship Id="rId2" Type="http://schemas.openxmlformats.org/officeDocument/2006/relationships/table" Target="../tables/table15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8.xml"/><Relationship Id="rId2" Type="http://schemas.openxmlformats.org/officeDocument/2006/relationships/table" Target="../tables/table17.x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139"/>
  <sheetViews>
    <sheetView tabSelected="1" topLeftCell="K121" zoomScale="80" zoomScaleNormal="80" workbookViewId="0">
      <selection activeCell="N145" sqref="N145"/>
    </sheetView>
  </sheetViews>
  <sheetFormatPr defaultRowHeight="14.4" x14ac:dyDescent="0.3"/>
  <cols>
    <col min="2" max="2" width="35" customWidth="1"/>
    <col min="3" max="3" width="25.33203125" customWidth="1"/>
    <col min="4" max="4" width="25.44140625" customWidth="1"/>
    <col min="5" max="5" width="42.6640625" customWidth="1"/>
    <col min="6" max="6" width="40.5546875" customWidth="1"/>
    <col min="7" max="7" width="25.33203125" customWidth="1"/>
    <col min="8" max="8" width="24.77734375" customWidth="1"/>
    <col min="9" max="9" width="35" customWidth="1"/>
    <col min="10" max="10" width="38.109375" customWidth="1"/>
    <col min="11" max="11" width="53.88671875" customWidth="1"/>
    <col min="12" max="12" width="20.88671875" customWidth="1"/>
    <col min="13" max="13" width="39.77734375" customWidth="1"/>
    <col min="14" max="14" width="20.5546875" customWidth="1"/>
    <col min="15" max="15" width="36.21875" customWidth="1"/>
  </cols>
  <sheetData>
    <row r="2" spans="1:18" ht="18" x14ac:dyDescent="0.35">
      <c r="A2" s="51" t="s">
        <v>80</v>
      </c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</row>
    <row r="4" spans="1:18" x14ac:dyDescent="0.3">
      <c r="A4" s="1" t="s">
        <v>0</v>
      </c>
      <c r="B4" s="1" t="s">
        <v>1</v>
      </c>
    </row>
    <row r="17" spans="1:16" x14ac:dyDescent="0.3">
      <c r="B17" s="1" t="s">
        <v>2</v>
      </c>
    </row>
    <row r="18" spans="1:16" x14ac:dyDescent="0.3">
      <c r="B18" s="2" t="s">
        <v>3</v>
      </c>
      <c r="C18" s="2" t="s">
        <v>81</v>
      </c>
      <c r="D18" s="2" t="s">
        <v>4</v>
      </c>
      <c r="E18" s="2" t="s">
        <v>82</v>
      </c>
      <c r="F18" s="2" t="s">
        <v>83</v>
      </c>
      <c r="G18" s="2" t="s">
        <v>6</v>
      </c>
      <c r="H18" s="2" t="s">
        <v>5</v>
      </c>
      <c r="I18" s="2" t="s">
        <v>85</v>
      </c>
      <c r="J18" s="2" t="s">
        <v>7</v>
      </c>
      <c r="K18" s="2" t="s">
        <v>8</v>
      </c>
      <c r="L18" s="2" t="s">
        <v>9</v>
      </c>
      <c r="M18" s="2"/>
      <c r="N18" s="2"/>
      <c r="O18" s="2"/>
    </row>
    <row r="19" spans="1:16" x14ac:dyDescent="0.3">
      <c r="B19" s="2" t="s">
        <v>81</v>
      </c>
      <c r="C19" s="3">
        <v>1</v>
      </c>
      <c r="D19" s="3">
        <v>3</v>
      </c>
      <c r="E19" s="3">
        <v>5</v>
      </c>
      <c r="F19" s="3">
        <v>5</v>
      </c>
      <c r="G19" s="3">
        <v>9</v>
      </c>
      <c r="H19" s="3">
        <v>9</v>
      </c>
      <c r="I19" s="3">
        <v>9</v>
      </c>
      <c r="J19" s="3">
        <v>4</v>
      </c>
      <c r="K19" s="3">
        <v>5</v>
      </c>
      <c r="L19" s="3">
        <v>7</v>
      </c>
      <c r="M19" s="3"/>
      <c r="N19" s="3"/>
      <c r="O19" s="3"/>
      <c r="P19" s="4"/>
    </row>
    <row r="20" spans="1:16" x14ac:dyDescent="0.3">
      <c r="B20" s="2" t="s">
        <v>4</v>
      </c>
      <c r="C20" s="3">
        <f>1/3</f>
        <v>0.33333333333333331</v>
      </c>
      <c r="D20" s="3">
        <v>1</v>
      </c>
      <c r="E20" s="3">
        <v>4</v>
      </c>
      <c r="F20" s="3">
        <v>4</v>
      </c>
      <c r="G20" s="3">
        <v>5</v>
      </c>
      <c r="H20" s="3">
        <v>5</v>
      </c>
      <c r="I20" s="3">
        <v>5</v>
      </c>
      <c r="J20" s="3">
        <v>1</v>
      </c>
      <c r="K20" s="3">
        <v>3</v>
      </c>
      <c r="L20" s="3">
        <v>5</v>
      </c>
      <c r="M20" s="3"/>
      <c r="N20" s="3"/>
      <c r="O20" s="3"/>
      <c r="P20" s="4"/>
    </row>
    <row r="21" spans="1:16" x14ac:dyDescent="0.3">
      <c r="B21" s="2" t="s">
        <v>82</v>
      </c>
      <c r="C21" s="3">
        <f>1/5</f>
        <v>0.2</v>
      </c>
      <c r="D21" s="3">
        <f>1/4</f>
        <v>0.25</v>
      </c>
      <c r="E21" s="3">
        <v>1</v>
      </c>
      <c r="F21" s="3">
        <v>2</v>
      </c>
      <c r="G21" s="3">
        <v>4</v>
      </c>
      <c r="H21" s="3">
        <v>4</v>
      </c>
      <c r="I21" s="3">
        <v>4</v>
      </c>
      <c r="J21" s="3">
        <f>1/5</f>
        <v>0.2</v>
      </c>
      <c r="K21" s="3">
        <v>1</v>
      </c>
      <c r="L21" s="3">
        <v>3</v>
      </c>
      <c r="M21" s="3"/>
      <c r="N21" s="3"/>
      <c r="O21" s="3"/>
      <c r="P21" s="4"/>
    </row>
    <row r="22" spans="1:16" x14ac:dyDescent="0.3">
      <c r="B22" s="2" t="s">
        <v>83</v>
      </c>
      <c r="C22" s="3">
        <f>1/5</f>
        <v>0.2</v>
      </c>
      <c r="D22" s="3">
        <f>1/4</f>
        <v>0.25</v>
      </c>
      <c r="E22" s="3">
        <f>1/2</f>
        <v>0.5</v>
      </c>
      <c r="F22" s="3">
        <v>1</v>
      </c>
      <c r="G22" s="3">
        <v>3</v>
      </c>
      <c r="H22" s="3">
        <v>3</v>
      </c>
      <c r="I22" s="3">
        <v>3</v>
      </c>
      <c r="J22" s="3">
        <f>1/5</f>
        <v>0.2</v>
      </c>
      <c r="K22" s="3">
        <v>4</v>
      </c>
      <c r="L22" s="3">
        <v>3</v>
      </c>
      <c r="M22" s="3"/>
      <c r="N22" s="3"/>
      <c r="O22" s="3"/>
      <c r="P22" s="4"/>
    </row>
    <row r="23" spans="1:16" x14ac:dyDescent="0.3">
      <c r="B23" s="2" t="s">
        <v>6</v>
      </c>
      <c r="C23" s="3">
        <f>1/9</f>
        <v>0.1111111111111111</v>
      </c>
      <c r="D23" s="3">
        <f>1/5</f>
        <v>0.2</v>
      </c>
      <c r="E23" s="3">
        <f>1/4</f>
        <v>0.25</v>
      </c>
      <c r="F23" s="3">
        <f>1/3</f>
        <v>0.33333333333333331</v>
      </c>
      <c r="G23" s="3">
        <v>1</v>
      </c>
      <c r="H23" s="3">
        <v>1</v>
      </c>
      <c r="I23" s="3">
        <v>1</v>
      </c>
      <c r="J23" s="3">
        <f>1/5</f>
        <v>0.2</v>
      </c>
      <c r="K23" s="3">
        <f>1/3</f>
        <v>0.33333333333333331</v>
      </c>
      <c r="L23" s="3">
        <f>1/2</f>
        <v>0.5</v>
      </c>
      <c r="M23" s="3"/>
      <c r="N23" s="3"/>
      <c r="O23" s="3"/>
      <c r="P23" s="4"/>
    </row>
    <row r="24" spans="1:16" x14ac:dyDescent="0.3">
      <c r="B24" s="2" t="s">
        <v>5</v>
      </c>
      <c r="C24" s="3">
        <f>1/9</f>
        <v>0.1111111111111111</v>
      </c>
      <c r="D24" s="3">
        <f>1/5</f>
        <v>0.2</v>
      </c>
      <c r="E24" s="3">
        <f>1/4</f>
        <v>0.25</v>
      </c>
      <c r="F24" s="3">
        <f>1/3</f>
        <v>0.33333333333333331</v>
      </c>
      <c r="G24" s="3">
        <v>1</v>
      </c>
      <c r="H24" s="3">
        <v>1</v>
      </c>
      <c r="I24" s="3">
        <v>1</v>
      </c>
      <c r="J24" s="3">
        <f>1/5</f>
        <v>0.2</v>
      </c>
      <c r="K24" s="3">
        <f>1/3</f>
        <v>0.33333333333333331</v>
      </c>
      <c r="L24" s="3">
        <v>1</v>
      </c>
      <c r="M24" s="3"/>
      <c r="N24" s="3"/>
      <c r="O24" s="3"/>
      <c r="P24" s="4"/>
    </row>
    <row r="25" spans="1:16" x14ac:dyDescent="0.3">
      <c r="B25" s="2" t="s">
        <v>84</v>
      </c>
      <c r="C25" s="3">
        <f>1/9</f>
        <v>0.1111111111111111</v>
      </c>
      <c r="D25" s="3">
        <f>1/5</f>
        <v>0.2</v>
      </c>
      <c r="E25" s="3">
        <f>1/4</f>
        <v>0.25</v>
      </c>
      <c r="F25" s="3">
        <f>1/3</f>
        <v>0.33333333333333331</v>
      </c>
      <c r="G25" s="3">
        <v>1</v>
      </c>
      <c r="H25" s="3">
        <v>1</v>
      </c>
      <c r="I25" s="3">
        <v>1</v>
      </c>
      <c r="J25" s="3">
        <f>1/7</f>
        <v>0.14285714285714285</v>
      </c>
      <c r="K25" s="3">
        <f>1/4</f>
        <v>0.25</v>
      </c>
      <c r="L25" s="3">
        <f>1/2</f>
        <v>0.5</v>
      </c>
      <c r="M25" s="3"/>
      <c r="N25" s="3"/>
      <c r="O25" s="3"/>
      <c r="P25" s="4"/>
    </row>
    <row r="26" spans="1:16" x14ac:dyDescent="0.3">
      <c r="B26" s="2" t="s">
        <v>7</v>
      </c>
      <c r="C26" s="3">
        <f>1/4</f>
        <v>0.25</v>
      </c>
      <c r="D26" s="3">
        <v>1</v>
      </c>
      <c r="E26" s="3">
        <v>5</v>
      </c>
      <c r="F26" s="3">
        <v>5</v>
      </c>
      <c r="G26" s="3">
        <v>5</v>
      </c>
      <c r="H26" s="3">
        <v>5</v>
      </c>
      <c r="I26" s="3">
        <v>7</v>
      </c>
      <c r="J26" s="3">
        <v>1</v>
      </c>
      <c r="K26" s="3">
        <v>3</v>
      </c>
      <c r="L26" s="3">
        <v>5</v>
      </c>
      <c r="M26" s="3"/>
      <c r="N26" s="3"/>
      <c r="O26" s="3"/>
      <c r="P26" s="4"/>
    </row>
    <row r="27" spans="1:16" x14ac:dyDescent="0.3">
      <c r="B27" s="2" t="s">
        <v>8</v>
      </c>
      <c r="C27" s="3">
        <f>1/5</f>
        <v>0.2</v>
      </c>
      <c r="D27" s="3">
        <f>1/3</f>
        <v>0.33333333333333331</v>
      </c>
      <c r="E27" s="3">
        <v>1</v>
      </c>
      <c r="F27" s="3">
        <f>1/4</f>
        <v>0.25</v>
      </c>
      <c r="G27" s="3">
        <v>3</v>
      </c>
      <c r="H27" s="3">
        <v>3</v>
      </c>
      <c r="I27" s="3">
        <v>4</v>
      </c>
      <c r="J27" s="3">
        <f>1/3</f>
        <v>0.33333333333333331</v>
      </c>
      <c r="K27" s="3">
        <v>1</v>
      </c>
      <c r="L27" s="3">
        <v>3</v>
      </c>
      <c r="M27" s="3"/>
      <c r="N27" s="3"/>
      <c r="O27" s="3"/>
      <c r="P27" s="4"/>
    </row>
    <row r="28" spans="1:16" x14ac:dyDescent="0.3">
      <c r="B28" s="2" t="s">
        <v>9</v>
      </c>
      <c r="C28" s="3">
        <f>1/7</f>
        <v>0.14285714285714285</v>
      </c>
      <c r="D28" s="3">
        <f>1/5</f>
        <v>0.2</v>
      </c>
      <c r="E28" s="3">
        <f>1/3</f>
        <v>0.33333333333333331</v>
      </c>
      <c r="F28" s="3">
        <f>1/3</f>
        <v>0.33333333333333331</v>
      </c>
      <c r="G28" s="3">
        <v>1</v>
      </c>
      <c r="H28" s="3">
        <v>2</v>
      </c>
      <c r="I28" s="3">
        <v>2</v>
      </c>
      <c r="J28" s="3">
        <f>1/5</f>
        <v>0.2</v>
      </c>
      <c r="K28" s="3">
        <f>1/3</f>
        <v>0.33333333333333331</v>
      </c>
      <c r="L28" s="3">
        <v>1</v>
      </c>
      <c r="M28" s="3"/>
      <c r="N28" s="3"/>
      <c r="O28" s="3"/>
      <c r="P28" s="4"/>
    </row>
    <row r="29" spans="1:16" x14ac:dyDescent="0.3">
      <c r="B29" s="5" t="s">
        <v>10</v>
      </c>
      <c r="C29" s="6">
        <f t="shared" ref="C29:L29" si="0">SUM(C19:C28)</f>
        <v>2.6595238095238094</v>
      </c>
      <c r="D29" s="6">
        <f t="shared" si="0"/>
        <v>6.6333333333333337</v>
      </c>
      <c r="E29" s="6">
        <f t="shared" si="0"/>
        <v>17.583333333333332</v>
      </c>
      <c r="F29" s="6">
        <f t="shared" si="0"/>
        <v>18.583333333333332</v>
      </c>
      <c r="G29" s="6">
        <f t="shared" si="0"/>
        <v>33</v>
      </c>
      <c r="H29" s="6">
        <f t="shared" si="0"/>
        <v>34</v>
      </c>
      <c r="I29" s="6">
        <f t="shared" si="0"/>
        <v>37</v>
      </c>
      <c r="J29" s="6">
        <f t="shared" si="0"/>
        <v>7.4761904761904772</v>
      </c>
      <c r="K29" s="6">
        <f t="shared" si="0"/>
        <v>18.25</v>
      </c>
      <c r="L29" s="6">
        <f t="shared" si="0"/>
        <v>29</v>
      </c>
      <c r="M29" s="6"/>
      <c r="N29" s="6"/>
      <c r="O29" s="6"/>
      <c r="P29" s="4"/>
    </row>
    <row r="30" spans="1:16" x14ac:dyDescent="0.3">
      <c r="M30" s="6"/>
      <c r="N30" s="6"/>
      <c r="O30" s="6"/>
      <c r="P30" s="4"/>
    </row>
    <row r="31" spans="1:16" x14ac:dyDescent="0.3">
      <c r="M31" s="6"/>
      <c r="N31" s="6"/>
      <c r="O31" s="6"/>
      <c r="P31" s="4"/>
    </row>
    <row r="32" spans="1:16" x14ac:dyDescent="0.3">
      <c r="A32" s="1" t="s">
        <v>11</v>
      </c>
      <c r="B32" s="5" t="s">
        <v>12</v>
      </c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4"/>
    </row>
    <row r="33" spans="2:16" x14ac:dyDescent="0.3">
      <c r="B33" s="7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4"/>
    </row>
    <row r="34" spans="2:16" x14ac:dyDescent="0.3">
      <c r="B34" s="5" t="s">
        <v>13</v>
      </c>
      <c r="C34" s="3"/>
      <c r="D34" s="3"/>
      <c r="E34" s="3"/>
      <c r="F34" s="3"/>
      <c r="G34" s="3"/>
      <c r="H34" s="3"/>
      <c r="I34" s="3"/>
      <c r="J34" s="3"/>
      <c r="K34" s="3"/>
      <c r="L34" s="3"/>
    </row>
    <row r="35" spans="2:16" x14ac:dyDescent="0.3">
      <c r="B35" s="2" t="s">
        <v>3</v>
      </c>
      <c r="C35" s="2" t="s">
        <v>81</v>
      </c>
      <c r="D35" s="2" t="s">
        <v>4</v>
      </c>
      <c r="E35" s="2" t="s">
        <v>82</v>
      </c>
      <c r="F35" s="2" t="s">
        <v>83</v>
      </c>
      <c r="G35" s="2" t="s">
        <v>6</v>
      </c>
      <c r="H35" s="2" t="s">
        <v>5</v>
      </c>
      <c r="I35" s="2" t="s">
        <v>84</v>
      </c>
      <c r="J35" s="2" t="s">
        <v>7</v>
      </c>
      <c r="K35" s="2" t="s">
        <v>8</v>
      </c>
      <c r="L35" s="2" t="s">
        <v>9</v>
      </c>
      <c r="M35" s="2" t="s">
        <v>14</v>
      </c>
      <c r="N35" s="2" t="s">
        <v>15</v>
      </c>
      <c r="O35" s="2" t="s">
        <v>16</v>
      </c>
    </row>
    <row r="36" spans="2:16" x14ac:dyDescent="0.3">
      <c r="B36" s="2" t="s">
        <v>81</v>
      </c>
      <c r="C36" s="3">
        <f>C19/$C$29</f>
        <v>0.37600716204118173</v>
      </c>
      <c r="D36" s="3">
        <f t="shared" ref="D36:D45" si="1">D19/$D$29</f>
        <v>0.45226130653266328</v>
      </c>
      <c r="E36" s="3">
        <f t="shared" ref="E36:E45" si="2">E19/$E$29</f>
        <v>0.28436018957345971</v>
      </c>
      <c r="F36" s="3">
        <f t="shared" ref="F36:F45" si="3">F19/$F$29</f>
        <v>0.26905829596412556</v>
      </c>
      <c r="G36" s="3">
        <f t="shared" ref="G36:G45" si="4">G19/$G$29</f>
        <v>0.27272727272727271</v>
      </c>
      <c r="H36" s="3">
        <f t="shared" ref="H36:H45" si="5">H19/$H$29</f>
        <v>0.26470588235294118</v>
      </c>
      <c r="I36" s="3">
        <f t="shared" ref="I36:I45" si="6">I19/$I$29</f>
        <v>0.24324324324324326</v>
      </c>
      <c r="J36" s="3">
        <f t="shared" ref="J36:J45" si="7">J19/$J$29</f>
        <v>0.53503184713375784</v>
      </c>
      <c r="K36" s="3">
        <f t="shared" ref="K36:K45" si="8">K19/$K$29</f>
        <v>0.27397260273972601</v>
      </c>
      <c r="L36" s="3">
        <f t="shared" ref="L36:L45" si="9">L19/$L$29</f>
        <v>0.2413793103448276</v>
      </c>
      <c r="M36" s="3">
        <f>SUM(C36:L36)</f>
        <v>3.212747112653199</v>
      </c>
      <c r="N36" s="3">
        <f>Table47[[#This Row],[JUMLAH]]/10</f>
        <v>0.32127471126531992</v>
      </c>
      <c r="O36" s="3">
        <f>Table47[[#This Row],[PRIORITAS]]*C29</f>
        <v>0.85443774400800554</v>
      </c>
    </row>
    <row r="37" spans="2:16" x14ac:dyDescent="0.3">
      <c r="B37" s="2" t="s">
        <v>4</v>
      </c>
      <c r="C37" s="3">
        <f t="shared" ref="C37:C45" si="10">C20/$C$29</f>
        <v>0.12533572068039392</v>
      </c>
      <c r="D37" s="3">
        <f t="shared" si="1"/>
        <v>0.15075376884422109</v>
      </c>
      <c r="E37" s="3">
        <f t="shared" si="2"/>
        <v>0.22748815165876779</v>
      </c>
      <c r="F37" s="3">
        <f t="shared" si="3"/>
        <v>0.21524663677130046</v>
      </c>
      <c r="G37" s="3">
        <f t="shared" si="4"/>
        <v>0.15151515151515152</v>
      </c>
      <c r="H37" s="3">
        <f t="shared" si="5"/>
        <v>0.14705882352941177</v>
      </c>
      <c r="I37" s="3">
        <f t="shared" si="6"/>
        <v>0.13513513513513514</v>
      </c>
      <c r="J37" s="3">
        <f t="shared" si="7"/>
        <v>0.13375796178343946</v>
      </c>
      <c r="K37" s="3">
        <f t="shared" si="8"/>
        <v>0.16438356164383561</v>
      </c>
      <c r="L37" s="3">
        <f t="shared" si="9"/>
        <v>0.17241379310344829</v>
      </c>
      <c r="M37" s="3">
        <f>SUM(C37:L37)</f>
        <v>1.623088704665105</v>
      </c>
      <c r="N37" s="3">
        <f>Table47[[#This Row],[JUMLAH]]/10</f>
        <v>0.16230887046651049</v>
      </c>
      <c r="O37" s="3">
        <f>Table47[[#This Row],[PRIORITAS]]*D29</f>
        <v>1.0766488407611863</v>
      </c>
    </row>
    <row r="38" spans="2:16" x14ac:dyDescent="0.3">
      <c r="B38" s="2" t="s">
        <v>82</v>
      </c>
      <c r="C38" s="3">
        <f>C21/$C$29</f>
        <v>7.520143240823636E-2</v>
      </c>
      <c r="D38" s="3">
        <f t="shared" si="1"/>
        <v>3.7688442211055273E-2</v>
      </c>
      <c r="E38" s="3">
        <f t="shared" si="2"/>
        <v>5.6872037914691947E-2</v>
      </c>
      <c r="F38" s="3">
        <f t="shared" si="3"/>
        <v>0.10762331838565023</v>
      </c>
      <c r="G38" s="3">
        <f t="shared" si="4"/>
        <v>0.12121212121212122</v>
      </c>
      <c r="H38" s="3">
        <f t="shared" si="5"/>
        <v>0.11764705882352941</v>
      </c>
      <c r="I38" s="3">
        <f t="shared" si="6"/>
        <v>0.10810810810810811</v>
      </c>
      <c r="J38" s="3">
        <f t="shared" si="7"/>
        <v>2.6751592356687896E-2</v>
      </c>
      <c r="K38" s="3">
        <f t="shared" si="8"/>
        <v>5.4794520547945202E-2</v>
      </c>
      <c r="L38" s="3">
        <f t="shared" si="9"/>
        <v>0.10344827586206896</v>
      </c>
      <c r="M38" s="3">
        <f t="shared" ref="M38:M45" si="11">SUM(C38:L38)</f>
        <v>0.80934690783009466</v>
      </c>
      <c r="N38" s="3">
        <f>Table47[[#This Row],[JUMLAH]]/10</f>
        <v>8.0934690783009466E-2</v>
      </c>
      <c r="O38" s="3">
        <f>Table47[[#This Row],[PRIORITAS]]*E29</f>
        <v>1.4231016462679165</v>
      </c>
    </row>
    <row r="39" spans="2:16" x14ac:dyDescent="0.3">
      <c r="B39" s="2" t="s">
        <v>83</v>
      </c>
      <c r="C39" s="3">
        <f t="shared" si="10"/>
        <v>7.520143240823636E-2</v>
      </c>
      <c r="D39" s="3">
        <f t="shared" si="1"/>
        <v>3.7688442211055273E-2</v>
      </c>
      <c r="E39" s="3">
        <f t="shared" si="2"/>
        <v>2.8436018957345974E-2</v>
      </c>
      <c r="F39" s="3">
        <f t="shared" si="3"/>
        <v>5.3811659192825115E-2</v>
      </c>
      <c r="G39" s="3">
        <f t="shared" si="4"/>
        <v>9.0909090909090912E-2</v>
      </c>
      <c r="H39" s="3">
        <f t="shared" si="5"/>
        <v>8.8235294117647065E-2</v>
      </c>
      <c r="I39" s="3">
        <f t="shared" si="6"/>
        <v>8.1081081081081086E-2</v>
      </c>
      <c r="J39" s="3">
        <f t="shared" si="7"/>
        <v>2.6751592356687896E-2</v>
      </c>
      <c r="K39" s="3">
        <f t="shared" si="8"/>
        <v>0.21917808219178081</v>
      </c>
      <c r="L39" s="3">
        <f t="shared" si="9"/>
        <v>0.10344827586206896</v>
      </c>
      <c r="M39" s="3">
        <f t="shared" si="11"/>
        <v>0.80474096928781935</v>
      </c>
      <c r="N39" s="3">
        <f>Table47[[#This Row],[JUMLAH]]/10</f>
        <v>8.0474096928781935E-2</v>
      </c>
      <c r="O39" s="3">
        <f>Table47[[#This Row],[PRIORITAS]]*F29</f>
        <v>1.495476967926531</v>
      </c>
    </row>
    <row r="40" spans="2:16" x14ac:dyDescent="0.3">
      <c r="B40" s="2" t="s">
        <v>6</v>
      </c>
      <c r="C40" s="3">
        <f t="shared" si="10"/>
        <v>4.1778573560131302E-2</v>
      </c>
      <c r="D40" s="3">
        <f t="shared" si="1"/>
        <v>3.015075376884422E-2</v>
      </c>
      <c r="E40" s="3">
        <f t="shared" si="2"/>
        <v>1.4218009478672987E-2</v>
      </c>
      <c r="F40" s="3">
        <f t="shared" si="3"/>
        <v>1.7937219730941704E-2</v>
      </c>
      <c r="G40" s="3">
        <f t="shared" si="4"/>
        <v>3.0303030303030304E-2</v>
      </c>
      <c r="H40" s="3">
        <f t="shared" si="5"/>
        <v>2.9411764705882353E-2</v>
      </c>
      <c r="I40" s="3">
        <f t="shared" si="6"/>
        <v>2.7027027027027029E-2</v>
      </c>
      <c r="J40" s="3">
        <f t="shared" si="7"/>
        <v>2.6751592356687896E-2</v>
      </c>
      <c r="K40" s="3">
        <f t="shared" si="8"/>
        <v>1.8264840182648401E-2</v>
      </c>
      <c r="L40" s="3">
        <f t="shared" si="9"/>
        <v>1.7241379310344827E-2</v>
      </c>
      <c r="M40" s="3">
        <f t="shared" si="11"/>
        <v>0.25308419042421104</v>
      </c>
      <c r="N40" s="3">
        <f>Table47[[#This Row],[JUMLAH]]/10</f>
        <v>2.5308419042421103E-2</v>
      </c>
      <c r="O40" s="3">
        <f>Table47[[#This Row],[PRIORITAS]]*G29</f>
        <v>0.8351778283998964</v>
      </c>
    </row>
    <row r="41" spans="2:16" x14ac:dyDescent="0.3">
      <c r="B41" s="2" t="s">
        <v>5</v>
      </c>
      <c r="C41" s="3">
        <f t="shared" si="10"/>
        <v>4.1778573560131302E-2</v>
      </c>
      <c r="D41" s="3">
        <f t="shared" si="1"/>
        <v>3.015075376884422E-2</v>
      </c>
      <c r="E41" s="3">
        <f t="shared" si="2"/>
        <v>1.4218009478672987E-2</v>
      </c>
      <c r="F41" s="3">
        <f t="shared" si="3"/>
        <v>1.7937219730941704E-2</v>
      </c>
      <c r="G41" s="3">
        <f t="shared" si="4"/>
        <v>3.0303030303030304E-2</v>
      </c>
      <c r="H41" s="3">
        <f t="shared" si="5"/>
        <v>2.9411764705882353E-2</v>
      </c>
      <c r="I41" s="3">
        <f t="shared" si="6"/>
        <v>2.7027027027027029E-2</v>
      </c>
      <c r="J41" s="3">
        <f t="shared" si="7"/>
        <v>2.6751592356687896E-2</v>
      </c>
      <c r="K41" s="3">
        <f t="shared" si="8"/>
        <v>1.8264840182648401E-2</v>
      </c>
      <c r="L41" s="3">
        <f t="shared" si="9"/>
        <v>3.4482758620689655E-2</v>
      </c>
      <c r="M41" s="3">
        <f t="shared" si="11"/>
        <v>0.27032556973455585</v>
      </c>
      <c r="N41" s="3">
        <f>Table47[[#This Row],[JUMLAH]]/10</f>
        <v>2.7032556973455586E-2</v>
      </c>
      <c r="O41" s="3">
        <f>Table47[[#This Row],[PRIORITAS]]*H29</f>
        <v>0.91910693709748992</v>
      </c>
    </row>
    <row r="42" spans="2:16" x14ac:dyDescent="0.3">
      <c r="B42" s="2" t="s">
        <v>84</v>
      </c>
      <c r="C42" s="3">
        <f t="shared" si="10"/>
        <v>4.1778573560131302E-2</v>
      </c>
      <c r="D42" s="3">
        <f t="shared" si="1"/>
        <v>3.015075376884422E-2</v>
      </c>
      <c r="E42" s="3">
        <f t="shared" si="2"/>
        <v>1.4218009478672987E-2</v>
      </c>
      <c r="F42" s="3">
        <f t="shared" si="3"/>
        <v>1.7937219730941704E-2</v>
      </c>
      <c r="G42" s="3">
        <f t="shared" si="4"/>
        <v>3.0303030303030304E-2</v>
      </c>
      <c r="H42" s="3">
        <f t="shared" si="5"/>
        <v>2.9411764705882353E-2</v>
      </c>
      <c r="I42" s="3">
        <f t="shared" si="6"/>
        <v>2.7027027027027029E-2</v>
      </c>
      <c r="J42" s="3">
        <f t="shared" si="7"/>
        <v>1.9108280254777066E-2</v>
      </c>
      <c r="K42" s="3">
        <f t="shared" si="8"/>
        <v>1.3698630136986301E-2</v>
      </c>
      <c r="L42" s="3">
        <f t="shared" si="9"/>
        <v>1.7241379310344827E-2</v>
      </c>
      <c r="M42" s="3">
        <f t="shared" si="11"/>
        <v>0.24087466827663812</v>
      </c>
      <c r="N42" s="3">
        <f>Table47[[#This Row],[JUMLAH]]/10</f>
        <v>2.4087466827663811E-2</v>
      </c>
      <c r="O42" s="3">
        <f>Table47[[#This Row],[PRIORITAS]]*I29</f>
        <v>0.89123627262356098</v>
      </c>
    </row>
    <row r="43" spans="2:16" x14ac:dyDescent="0.3">
      <c r="B43" s="2" t="s">
        <v>7</v>
      </c>
      <c r="C43" s="3">
        <f t="shared" si="10"/>
        <v>9.4001790510295433E-2</v>
      </c>
      <c r="D43" s="3">
        <f t="shared" si="1"/>
        <v>0.15075376884422109</v>
      </c>
      <c r="E43" s="3">
        <f t="shared" si="2"/>
        <v>0.28436018957345971</v>
      </c>
      <c r="F43" s="3">
        <f t="shared" si="3"/>
        <v>0.26905829596412556</v>
      </c>
      <c r="G43" s="3">
        <f t="shared" si="4"/>
        <v>0.15151515151515152</v>
      </c>
      <c r="H43" s="3">
        <f t="shared" si="5"/>
        <v>0.14705882352941177</v>
      </c>
      <c r="I43" s="3">
        <f t="shared" si="6"/>
        <v>0.1891891891891892</v>
      </c>
      <c r="J43" s="3">
        <f t="shared" si="7"/>
        <v>0.13375796178343946</v>
      </c>
      <c r="K43" s="3">
        <f t="shared" si="8"/>
        <v>0.16438356164383561</v>
      </c>
      <c r="L43" s="3">
        <f t="shared" si="9"/>
        <v>0.17241379310344829</v>
      </c>
      <c r="M43" s="3">
        <f t="shared" si="11"/>
        <v>1.7564925256565775</v>
      </c>
      <c r="N43" s="3">
        <f>Table47[[#This Row],[JUMLAH]]/10</f>
        <v>0.17564925256565775</v>
      </c>
      <c r="O43" s="3">
        <f>Table47[[#This Row],[PRIORITAS]]*J29</f>
        <v>1.3131872691813462</v>
      </c>
    </row>
    <row r="44" spans="2:16" x14ac:dyDescent="0.3">
      <c r="B44" s="2" t="s">
        <v>8</v>
      </c>
      <c r="C44" s="3">
        <f t="shared" si="10"/>
        <v>7.520143240823636E-2</v>
      </c>
      <c r="D44" s="3">
        <f t="shared" si="1"/>
        <v>5.0251256281407031E-2</v>
      </c>
      <c r="E44" s="3">
        <f t="shared" si="2"/>
        <v>5.6872037914691947E-2</v>
      </c>
      <c r="F44" s="3">
        <f t="shared" si="3"/>
        <v>1.3452914798206279E-2</v>
      </c>
      <c r="G44" s="3">
        <f t="shared" si="4"/>
        <v>9.0909090909090912E-2</v>
      </c>
      <c r="H44" s="3">
        <f t="shared" si="5"/>
        <v>8.8235294117647065E-2</v>
      </c>
      <c r="I44" s="3">
        <f t="shared" si="6"/>
        <v>0.10810810810810811</v>
      </c>
      <c r="J44" s="3">
        <f t="shared" si="7"/>
        <v>4.4585987261146487E-2</v>
      </c>
      <c r="K44" s="3">
        <f t="shared" si="8"/>
        <v>5.4794520547945202E-2</v>
      </c>
      <c r="L44" s="3">
        <f t="shared" si="9"/>
        <v>0.10344827586206896</v>
      </c>
      <c r="M44" s="3">
        <f t="shared" si="11"/>
        <v>0.68585891820854838</v>
      </c>
      <c r="N44" s="3">
        <f>Table47[[#This Row],[JUMLAH]]/10</f>
        <v>6.8585891820854838E-2</v>
      </c>
      <c r="O44" s="3">
        <f>Table47[[#This Row],[PRIORITAS]]*K29</f>
        <v>1.2516925257306009</v>
      </c>
    </row>
    <row r="45" spans="2:16" x14ac:dyDescent="0.3">
      <c r="B45" s="2" t="s">
        <v>9</v>
      </c>
      <c r="C45" s="3">
        <f t="shared" si="10"/>
        <v>5.371530886302596E-2</v>
      </c>
      <c r="D45" s="3">
        <f t="shared" si="1"/>
        <v>3.015075376884422E-2</v>
      </c>
      <c r="E45" s="3">
        <f t="shared" si="2"/>
        <v>1.8957345971563982E-2</v>
      </c>
      <c r="F45" s="3">
        <f t="shared" si="3"/>
        <v>1.7937219730941704E-2</v>
      </c>
      <c r="G45" s="3">
        <f t="shared" si="4"/>
        <v>3.0303030303030304E-2</v>
      </c>
      <c r="H45" s="3">
        <f t="shared" si="5"/>
        <v>5.8823529411764705E-2</v>
      </c>
      <c r="I45" s="3">
        <f t="shared" si="6"/>
        <v>5.4054054054054057E-2</v>
      </c>
      <c r="J45" s="3">
        <f t="shared" si="7"/>
        <v>2.6751592356687896E-2</v>
      </c>
      <c r="K45" s="3">
        <f t="shared" si="8"/>
        <v>1.8264840182648401E-2</v>
      </c>
      <c r="L45" s="3">
        <f t="shared" si="9"/>
        <v>3.4482758620689655E-2</v>
      </c>
      <c r="M45" s="3">
        <f t="shared" si="11"/>
        <v>0.34344043326325091</v>
      </c>
      <c r="N45" s="3">
        <f>Table47[[#This Row],[JUMLAH]]/10</f>
        <v>3.434404332632509E-2</v>
      </c>
      <c r="O45" s="3">
        <f>Table47[[#This Row],[PRIORITAS]]*L29</f>
        <v>0.99597725646342761</v>
      </c>
    </row>
    <row r="46" spans="2:16" x14ac:dyDescent="0.3">
      <c r="B46" s="2" t="s">
        <v>10</v>
      </c>
      <c r="C46" s="3">
        <f>SUM(C36:C45)</f>
        <v>1</v>
      </c>
      <c r="D46" s="3">
        <f t="shared" ref="D46:O46" si="12">SUM(D36:D45)</f>
        <v>1</v>
      </c>
      <c r="E46" s="3">
        <f t="shared" si="12"/>
        <v>1.0000000000000002</v>
      </c>
      <c r="F46" s="3">
        <f t="shared" si="12"/>
        <v>1.0000000000000002</v>
      </c>
      <c r="G46" s="3">
        <f t="shared" si="12"/>
        <v>0.99999999999999989</v>
      </c>
      <c r="H46" s="3">
        <f t="shared" si="12"/>
        <v>1</v>
      </c>
      <c r="I46" s="3">
        <f t="shared" si="12"/>
        <v>0.99999999999999989</v>
      </c>
      <c r="J46" s="3">
        <f t="shared" si="12"/>
        <v>0.99999999999999978</v>
      </c>
      <c r="K46" s="3">
        <f t="shared" si="12"/>
        <v>1</v>
      </c>
      <c r="L46" s="3">
        <f t="shared" si="12"/>
        <v>1</v>
      </c>
      <c r="M46" s="3">
        <f>SUM(M36:M45)</f>
        <v>10</v>
      </c>
      <c r="N46" s="3">
        <f t="shared" si="12"/>
        <v>1</v>
      </c>
      <c r="O46" s="3">
        <f t="shared" si="12"/>
        <v>11.056043288459961</v>
      </c>
    </row>
    <row r="49" spans="1:12" x14ac:dyDescent="0.3">
      <c r="B49" s="8" t="s">
        <v>17</v>
      </c>
      <c r="C49" s="9">
        <f>(O46-10)/(10-1)</f>
        <v>0.11733814316221786</v>
      </c>
    </row>
    <row r="50" spans="1:12" x14ac:dyDescent="0.3">
      <c r="B50" s="8" t="s">
        <v>18</v>
      </c>
      <c r="C50" s="9">
        <v>1.49</v>
      </c>
    </row>
    <row r="51" spans="1:12" ht="20.399999999999999" thickBot="1" x14ac:dyDescent="0.45">
      <c r="B51" s="8" t="s">
        <v>19</v>
      </c>
      <c r="C51" s="10">
        <f>C49/C50</f>
        <v>7.8750431652495206E-2</v>
      </c>
      <c r="D51" s="11" t="str">
        <f>IF(C51&lt;=0.1, "KONSISTEN", "TIDAK KONSISTEN")</f>
        <v>KONSISTEN</v>
      </c>
    </row>
    <row r="52" spans="1:12" ht="15" thickTop="1" x14ac:dyDescent="0.3"/>
    <row r="58" spans="1:12" x14ac:dyDescent="0.3">
      <c r="A58" s="1" t="s">
        <v>20</v>
      </c>
      <c r="B58" t="s">
        <v>21</v>
      </c>
    </row>
    <row r="60" spans="1:12" x14ac:dyDescent="0.3">
      <c r="B60" s="1" t="s">
        <v>22</v>
      </c>
    </row>
    <row r="61" spans="1:12" x14ac:dyDescent="0.3">
      <c r="B61" s="31" t="s">
        <v>81</v>
      </c>
      <c r="C61" s="13">
        <v>0.32127471126531998</v>
      </c>
      <c r="E61" s="1" t="s">
        <v>86</v>
      </c>
      <c r="H61" s="1" t="s">
        <v>23</v>
      </c>
      <c r="K61" s="1" t="s">
        <v>87</v>
      </c>
    </row>
    <row r="62" spans="1:12" x14ac:dyDescent="0.3">
      <c r="B62" s="32" t="s">
        <v>4</v>
      </c>
      <c r="C62" s="13">
        <v>0.16230887046651049</v>
      </c>
      <c r="E62" s="15" t="s">
        <v>25</v>
      </c>
      <c r="F62" s="13">
        <v>0.55789247517188689</v>
      </c>
      <c r="H62" s="15" t="s">
        <v>24</v>
      </c>
      <c r="I62" s="13">
        <v>0.56122714234880688</v>
      </c>
      <c r="K62" s="15" t="s">
        <v>41</v>
      </c>
      <c r="L62" s="13">
        <v>0.56526083662240167</v>
      </c>
    </row>
    <row r="63" spans="1:12" x14ac:dyDescent="0.3">
      <c r="B63" s="31" t="s">
        <v>82</v>
      </c>
      <c r="C63" s="13">
        <v>8.0934690783009466E-2</v>
      </c>
      <c r="E63" s="15" t="s">
        <v>98</v>
      </c>
      <c r="F63" s="13">
        <v>0.26334511077158135</v>
      </c>
      <c r="H63" s="15" t="s">
        <v>26</v>
      </c>
      <c r="I63" s="13">
        <v>0.28300101123002108</v>
      </c>
      <c r="K63" s="15" t="s">
        <v>99</v>
      </c>
      <c r="L63" s="13">
        <v>0.27264966955513747</v>
      </c>
    </row>
    <row r="64" spans="1:12" x14ac:dyDescent="0.3">
      <c r="B64" s="32" t="s">
        <v>83</v>
      </c>
      <c r="C64" s="13">
        <v>8.0474096928781935E-2</v>
      </c>
      <c r="E64" s="15" t="s">
        <v>29</v>
      </c>
      <c r="F64" s="13">
        <v>0.12187261268143622</v>
      </c>
      <c r="H64" s="15" t="s">
        <v>28</v>
      </c>
      <c r="I64" s="13">
        <v>0.10822358139925491</v>
      </c>
      <c r="K64" s="15" t="s">
        <v>43</v>
      </c>
      <c r="L64" s="13">
        <v>0.11005591264283238</v>
      </c>
    </row>
    <row r="65" spans="2:12" x14ac:dyDescent="0.3">
      <c r="B65" s="31" t="s">
        <v>6</v>
      </c>
      <c r="C65" s="13">
        <v>2.5308419042421103E-2</v>
      </c>
      <c r="E65" s="15" t="s">
        <v>31</v>
      </c>
      <c r="F65" s="13">
        <v>5.68898013750955E-2</v>
      </c>
      <c r="H65" s="15" t="s">
        <v>30</v>
      </c>
      <c r="I65" s="13">
        <v>4.7548265021917197E-2</v>
      </c>
      <c r="K65" s="15" t="s">
        <v>31</v>
      </c>
      <c r="L65" s="13">
        <v>5.2033581179628564E-2</v>
      </c>
    </row>
    <row r="66" spans="2:12" x14ac:dyDescent="0.3">
      <c r="B66" s="32" t="s">
        <v>5</v>
      </c>
      <c r="C66" s="13">
        <v>2.7032556973455586E-2</v>
      </c>
    </row>
    <row r="67" spans="2:12" x14ac:dyDescent="0.3">
      <c r="B67" s="31" t="s">
        <v>84</v>
      </c>
      <c r="C67" s="13">
        <v>2.4087466827663811E-2</v>
      </c>
      <c r="E67" s="33" t="s">
        <v>32</v>
      </c>
    </row>
    <row r="68" spans="2:12" x14ac:dyDescent="0.3">
      <c r="B68" s="14" t="s">
        <v>7</v>
      </c>
      <c r="C68" s="13">
        <v>0.17564925256565775</v>
      </c>
      <c r="E68" s="12" t="s">
        <v>34</v>
      </c>
      <c r="F68" s="13">
        <v>0.723367198838897</v>
      </c>
      <c r="H68" t="s">
        <v>33</v>
      </c>
    </row>
    <row r="69" spans="2:12" x14ac:dyDescent="0.3">
      <c r="B69" s="12" t="s">
        <v>8</v>
      </c>
      <c r="C69" s="13">
        <v>6.8585891820854838E-2</v>
      </c>
      <c r="E69" s="16" t="s">
        <v>36</v>
      </c>
      <c r="F69" s="13">
        <v>0.20621190130624092</v>
      </c>
      <c r="H69" s="15" t="s">
        <v>35</v>
      </c>
      <c r="I69" s="13">
        <v>0.50117381987773368</v>
      </c>
    </row>
    <row r="70" spans="2:12" x14ac:dyDescent="0.3">
      <c r="B70" s="14" t="s">
        <v>9</v>
      </c>
      <c r="C70" s="13">
        <v>3.434404332632509E-2</v>
      </c>
      <c r="E70" s="17" t="s">
        <v>38</v>
      </c>
      <c r="F70" s="13">
        <v>7.0420899854862121E-2</v>
      </c>
      <c r="H70" s="13" t="s">
        <v>37</v>
      </c>
      <c r="I70" s="13">
        <v>0.32189449801474762</v>
      </c>
    </row>
    <row r="71" spans="2:12" ht="28.8" x14ac:dyDescent="0.3">
      <c r="H71" s="15" t="s">
        <v>39</v>
      </c>
      <c r="I71" s="13">
        <v>0.12537026533056028</v>
      </c>
    </row>
    <row r="72" spans="2:12" x14ac:dyDescent="0.3">
      <c r="E72" s="1" t="s">
        <v>88</v>
      </c>
      <c r="H72" s="13" t="s">
        <v>31</v>
      </c>
      <c r="I72" s="13">
        <v>5.1561416776958469E-2</v>
      </c>
    </row>
    <row r="73" spans="2:12" x14ac:dyDescent="0.3">
      <c r="B73" s="1" t="s">
        <v>40</v>
      </c>
      <c r="E73" s="13" t="s">
        <v>41</v>
      </c>
      <c r="F73" s="13">
        <v>0.60569340287453721</v>
      </c>
    </row>
    <row r="74" spans="2:12" x14ac:dyDescent="0.3">
      <c r="B74" s="13" t="s">
        <v>89</v>
      </c>
      <c r="C74" s="13">
        <v>0.72551773647330553</v>
      </c>
      <c r="E74" s="13" t="s">
        <v>42</v>
      </c>
      <c r="F74" s="13">
        <v>0.231831320358103</v>
      </c>
      <c r="H74" s="1" t="s">
        <v>47</v>
      </c>
    </row>
    <row r="75" spans="2:12" x14ac:dyDescent="0.3">
      <c r="B75" s="13" t="s">
        <v>90</v>
      </c>
      <c r="C75" s="13">
        <v>0.20664200883312267</v>
      </c>
      <c r="E75" s="13" t="s">
        <v>43</v>
      </c>
      <c r="F75" s="13">
        <v>0.11039846343680276</v>
      </c>
      <c r="H75" s="13" t="s">
        <v>50</v>
      </c>
      <c r="I75" s="13">
        <v>0.557907895445931</v>
      </c>
    </row>
    <row r="76" spans="2:12" x14ac:dyDescent="0.3">
      <c r="B76" s="13" t="s">
        <v>38</v>
      </c>
      <c r="C76" s="13">
        <v>6.78402546935718E-2</v>
      </c>
      <c r="E76" s="13" t="s">
        <v>31</v>
      </c>
      <c r="F76" s="13">
        <v>5.2076813330556956E-2</v>
      </c>
      <c r="H76" s="13" t="s">
        <v>53</v>
      </c>
      <c r="I76" s="13">
        <v>0.2767346368753989</v>
      </c>
    </row>
    <row r="77" spans="2:12" x14ac:dyDescent="0.3">
      <c r="H77" s="13" t="s">
        <v>56</v>
      </c>
      <c r="I77" s="13">
        <v>0.11250689303498926</v>
      </c>
    </row>
    <row r="78" spans="2:12" x14ac:dyDescent="0.3">
      <c r="B78" s="1" t="s">
        <v>44</v>
      </c>
      <c r="E78" s="1" t="s">
        <v>46</v>
      </c>
      <c r="H78" s="13" t="s">
        <v>31</v>
      </c>
      <c r="I78" s="13">
        <v>5.2850574643680856E-2</v>
      </c>
    </row>
    <row r="79" spans="2:12" x14ac:dyDescent="0.3">
      <c r="B79" s="13" t="s">
        <v>45</v>
      </c>
      <c r="C79" s="13">
        <v>0.32780748692877526</v>
      </c>
      <c r="E79" s="15" t="s">
        <v>49</v>
      </c>
      <c r="F79" s="13">
        <v>0.73695244400308946</v>
      </c>
    </row>
    <row r="80" spans="2:12" x14ac:dyDescent="0.3">
      <c r="B80" s="13" t="s">
        <v>48</v>
      </c>
      <c r="C80" s="13">
        <v>0.23492157543945874</v>
      </c>
      <c r="E80" s="15" t="s">
        <v>52</v>
      </c>
      <c r="F80" s="13">
        <v>0.18627937768950678</v>
      </c>
    </row>
    <row r="81" spans="2:13" x14ac:dyDescent="0.3">
      <c r="B81" s="13" t="s">
        <v>51</v>
      </c>
      <c r="C81" s="13">
        <v>0.15594629652626857</v>
      </c>
      <c r="E81" s="15" t="s">
        <v>55</v>
      </c>
      <c r="F81" s="13">
        <v>7.6768178307403734E-2</v>
      </c>
    </row>
    <row r="82" spans="2:13" x14ac:dyDescent="0.3">
      <c r="B82" s="13" t="s">
        <v>54</v>
      </c>
      <c r="C82" s="13">
        <v>0.1186709536542713</v>
      </c>
    </row>
    <row r="83" spans="2:13" x14ac:dyDescent="0.3">
      <c r="B83" s="13" t="s">
        <v>57</v>
      </c>
      <c r="C83" s="13">
        <v>7.4640203931419055E-2</v>
      </c>
    </row>
    <row r="84" spans="2:13" x14ac:dyDescent="0.3">
      <c r="B84" s="13" t="s">
        <v>58</v>
      </c>
      <c r="C84" s="13">
        <v>4.1363495855818985E-2</v>
      </c>
    </row>
    <row r="85" spans="2:13" x14ac:dyDescent="0.3">
      <c r="B85" s="13" t="s">
        <v>59</v>
      </c>
      <c r="C85" s="13">
        <v>2.7711652475463491E-2</v>
      </c>
    </row>
    <row r="86" spans="2:13" x14ac:dyDescent="0.3">
      <c r="B86" s="13" t="s">
        <v>60</v>
      </c>
      <c r="C86" s="13">
        <v>1.8938335188524648E-2</v>
      </c>
    </row>
    <row r="88" spans="2:13" x14ac:dyDescent="0.3">
      <c r="B88" s="1" t="s">
        <v>61</v>
      </c>
    </row>
    <row r="90" spans="2:13" x14ac:dyDescent="0.3">
      <c r="B90" s="53" t="str">
        <f>'[1]DATA PENILAIAN KASI'!B31</f>
        <v>Nama</v>
      </c>
      <c r="C90" s="53" t="str">
        <f>'[1]DATA PENILAIAN KASI'!C31</f>
        <v>Divisi</v>
      </c>
      <c r="D90" s="57" t="str">
        <f>'[1]DATA PENILAIAN KASI'!D31</f>
        <v>KRITERI PENILAIAN</v>
      </c>
      <c r="E90" s="58"/>
      <c r="F90" s="58"/>
      <c r="G90" s="58"/>
      <c r="H90" s="58"/>
      <c r="I90" s="58"/>
      <c r="J90" s="58"/>
      <c r="K90" s="58"/>
      <c r="L90" s="58"/>
      <c r="M90" s="59"/>
    </row>
    <row r="91" spans="2:13" x14ac:dyDescent="0.3">
      <c r="B91" s="54"/>
      <c r="C91" s="54"/>
      <c r="D91" s="12" t="str">
        <f>'[1]DATA PENILAIAN KASI'!D32</f>
        <v>Leadership</v>
      </c>
      <c r="E91" s="14" t="str">
        <f>'[1]DATA PENILAIAN KASI'!E32</f>
        <v>Productivity</v>
      </c>
      <c r="F91" s="46" t="str">
        <f>'[1]DATA PENILAIAN KASI'!F32</f>
        <v xml:space="preserve">Kemampuan Pemecahan Masalah </v>
      </c>
      <c r="G91" s="32" t="str">
        <f>'[1]DATA PENILAIAN KASI'!G32</f>
        <v>Realisasi SOP/SPK</v>
      </c>
      <c r="H91" s="31" t="str">
        <f>'[1]DATA PENILAIAN KASI'!H32</f>
        <v>Dokumentasi</v>
      </c>
      <c r="I91" s="32" t="str">
        <f>'[1]DATA PENILAIAN KASI'!I32</f>
        <v>Pelaksanaan 5R</v>
      </c>
      <c r="J91" s="31" t="str">
        <f>'[1]DATA PENILAIAN KASI'!J32</f>
        <v>Pelaksanaan K3</v>
      </c>
      <c r="K91" s="19" t="str">
        <f>'[1]DATA PENILAIAN KASI'!K32</f>
        <v>kehadiran</v>
      </c>
      <c r="L91" s="20" t="str">
        <f>'[1]DATA PENILAIAN KASI'!L32</f>
        <v>kedisipilinan</v>
      </c>
      <c r="M91" s="21" t="str">
        <f>'[1]DATA PENILAIAN KASI'!M32</f>
        <v>Inisiatif</v>
      </c>
    </row>
    <row r="92" spans="2:13" x14ac:dyDescent="0.3">
      <c r="B92" s="18" t="str">
        <f>'[1]DATA PENILAIAN KASI'!B33</f>
        <v>Zaenal Arifin</v>
      </c>
      <c r="C92" s="22" t="str">
        <f>'[1]DATA PENILAIAN KASI'!C33</f>
        <v>Automotive Welding</v>
      </c>
      <c r="D92" s="15" t="str">
        <f>'[1]DATA PENILAIAN KASI'!D33</f>
        <v>Baik</v>
      </c>
      <c r="E92" s="13" t="str">
        <f>'[1]DATA PENILAIAN KASI'!E33</f>
        <v>Pekerjaan selesai 80-90%</v>
      </c>
      <c r="F92" s="47" t="str">
        <f>'[1]DATA PENILAIAN KASI'!F33</f>
        <v>Mampu</v>
      </c>
      <c r="G92" s="13" t="str">
        <f>'[1]DATA PENILAIAN KASI'!G33</f>
        <v>Mampu</v>
      </c>
      <c r="H92" s="15" t="str">
        <f>'[1]DATA PENILAIAN KASI'!H33</f>
        <v>Lengkap</v>
      </c>
      <c r="I92" s="13" t="str">
        <f>'[1]DATA PENILAIAN KASI'!I33</f>
        <v>Kurang melaksanakan</v>
      </c>
      <c r="J92" s="15" t="str">
        <f>'[1]DATA PENILAIAN KASI'!J33</f>
        <v>Melaksanakan</v>
      </c>
      <c r="K92" s="23" t="str">
        <f>'[1]DATA PENILAIAN KASI'!K33</f>
        <v>Hadir &gt;=90%</v>
      </c>
      <c r="L92" s="15" t="str">
        <f>'[1]DATA PENILAIAN KASI'!L33</f>
        <v>Tidak ada Pelanggaran</v>
      </c>
      <c r="M92" s="13" t="str">
        <f>'[1]DATA PENILAIAN KASI'!M33</f>
        <v>Bagus</v>
      </c>
    </row>
    <row r="93" spans="2:13" x14ac:dyDescent="0.3">
      <c r="B93" s="18" t="str">
        <f>'[1]DATA PENILAIAN KASI'!B34</f>
        <v>Bahrul Rosi</v>
      </c>
      <c r="C93" s="22" t="str">
        <f>'[1]DATA PENILAIAN KASI'!C34</f>
        <v>Industrial Welding</v>
      </c>
      <c r="D93" s="15" t="str">
        <f>'[1]DATA PENILAIAN KASI'!D34</f>
        <v>Sangat Baik</v>
      </c>
      <c r="E93" s="13" t="str">
        <f>'[1]DATA PENILAIAN KASI'!E34</f>
        <v>Pekerjaan selesai 80-90%</v>
      </c>
      <c r="F93" s="48" t="str">
        <f>'[1]DATA PENILAIAN KASI'!F34</f>
        <v>Kurang Mampu</v>
      </c>
      <c r="G93" s="15" t="str">
        <f>'[1]DATA PENILAIAN KASI'!G34</f>
        <v>Kurang Mampu</v>
      </c>
      <c r="H93" s="13" t="str">
        <f>'[1]DATA PENILAIAN KASI'!H34</f>
        <v>Lengkap</v>
      </c>
      <c r="I93" s="13" t="str">
        <f>'[1]DATA PENILAIAN KASI'!I34</f>
        <v>Kurang melaksanakan</v>
      </c>
      <c r="J93" s="15" t="str">
        <f>'[1]DATA PENILAIAN KASI'!J34</f>
        <v>Kurang melaksanakan</v>
      </c>
      <c r="K93" s="15" t="str">
        <f>'[1]DATA PENILAIAN KASI'!K34</f>
        <v>Hadir &gt;=90%</v>
      </c>
      <c r="L93" s="15" t="str">
        <f>'[1]DATA PENILAIAN KASI'!L34</f>
        <v>Sedikit Pelanggaran</v>
      </c>
      <c r="M93" s="15" t="str">
        <f>'[1]DATA PENILAIAN KASI'!M34</f>
        <v>Bagus</v>
      </c>
    </row>
    <row r="94" spans="2:13" x14ac:dyDescent="0.3">
      <c r="B94" s="18" t="str">
        <f>'[1]DATA PENILAIAN KASI'!B35</f>
        <v>Cahyo Kumolo</v>
      </c>
      <c r="C94" s="22" t="str">
        <f>'[1]DATA PENILAIAN KASI'!C35</f>
        <v>Blower</v>
      </c>
      <c r="D94" s="15" t="str">
        <f>'[1]DATA PENILAIAN KASI'!D35</f>
        <v>Kurang</v>
      </c>
      <c r="E94" s="13" t="str">
        <f>'[1]DATA PENILAIAN KASI'!E35</f>
        <v>Pekerjaan selesai 60-79%</v>
      </c>
      <c r="F94" s="47" t="str">
        <f>'[1]DATA PENILAIAN KASI'!F35</f>
        <v>Mampu</v>
      </c>
      <c r="G94" s="15" t="str">
        <f>'[1]DATA PENILAIAN KASI'!G35</f>
        <v>Mampu</v>
      </c>
      <c r="H94" s="15" t="str">
        <f>'[1]DATA PENILAIAN KASI'!H35</f>
        <v>Kurang Lengkap</v>
      </c>
      <c r="I94" s="13" t="str">
        <f>'[1]DATA PENILAIAN KASI'!I35</f>
        <v>Kurang melaksanakan</v>
      </c>
      <c r="J94" s="15" t="str">
        <f>'[1]DATA PENILAIAN KASI'!J35</f>
        <v>Kurang melaksanakan</v>
      </c>
      <c r="K94" s="15" t="str">
        <f>'[1]DATA PENILAIAN KASI'!K35</f>
        <v>Hadir &gt;=90%</v>
      </c>
      <c r="L94" s="15" t="str">
        <f>'[1]DATA PENILAIAN KASI'!L35</f>
        <v>Sedikit Pelanggaran</v>
      </c>
      <c r="M94" s="13" t="str">
        <f>'[1]DATA PENILAIAN KASI'!M35</f>
        <v>Kurang</v>
      </c>
    </row>
    <row r="95" spans="2:13" x14ac:dyDescent="0.3">
      <c r="B95" s="18" t="str">
        <f>'[1]DATA PENILAIAN KASI'!B36</f>
        <v>Elysa Anggraini</v>
      </c>
      <c r="C95" s="22" t="str">
        <f>'[1]DATA PENILAIAN KASI'!C36</f>
        <v>General Affair</v>
      </c>
      <c r="D95" s="15" t="str">
        <f>'[1]DATA PENILAIAN KASI'!D36</f>
        <v>Kurang</v>
      </c>
      <c r="E95" s="13" t="str">
        <f>'[1]DATA PENILAIAN KASI'!E36</f>
        <v>Pekerjaan selesai 60-79%</v>
      </c>
      <c r="F95" s="48" t="str">
        <f>'[1]DATA PENILAIAN KASI'!F36</f>
        <v>Kurang Mampu</v>
      </c>
      <c r="G95" s="15" t="str">
        <f>'[1]DATA PENILAIAN KASI'!G36</f>
        <v>Kurang Mampu</v>
      </c>
      <c r="H95" s="13" t="str">
        <f>'[1]DATA PENILAIAN KASI'!H36</f>
        <v>Kurang Lengkap</v>
      </c>
      <c r="I95" s="13" t="str">
        <f>'[1]DATA PENILAIAN KASI'!I36</f>
        <v>Kurang melaksanakan</v>
      </c>
      <c r="J95" s="15" t="str">
        <f>'[1]DATA PENILAIAN KASI'!J36</f>
        <v>Kurang melaksanakan</v>
      </c>
      <c r="K95" s="15" t="str">
        <f>'[1]DATA PENILAIAN KASI'!K36</f>
        <v>Hadir 100%</v>
      </c>
      <c r="L95" s="15" t="str">
        <f>'[1]DATA PENILAIAN KASI'!L36</f>
        <v>Sedikit Pelanggaran</v>
      </c>
      <c r="M95" s="13" t="str">
        <f>'[1]DATA PENILAIAN KASI'!M36</f>
        <v>Bagus</v>
      </c>
    </row>
    <row r="96" spans="2:13" x14ac:dyDescent="0.3">
      <c r="B96" s="18" t="str">
        <f>'[1]DATA PENILAIAN KASI'!B37</f>
        <v>Rufiyanto</v>
      </c>
      <c r="C96" s="22" t="str">
        <f>'[1]DATA PENILAIAN KASI'!C37</f>
        <v>Industrial Repair</v>
      </c>
      <c r="D96" s="15" t="str">
        <f>'[1]DATA PENILAIAN KASI'!D37</f>
        <v>Sangat Baik</v>
      </c>
      <c r="E96" s="13" t="str">
        <f>'[1]DATA PENILAIAN KASI'!E37</f>
        <v>Pekerjaan selesai 80-90%</v>
      </c>
      <c r="F96" s="48" t="str">
        <f>'[1]DATA PENILAIAN KASI'!F37</f>
        <v>Mampu</v>
      </c>
      <c r="G96" s="15" t="str">
        <f>'[1]DATA PENILAIAN KASI'!G37</f>
        <v>Mampu</v>
      </c>
      <c r="H96" s="13" t="str">
        <f>'[1]DATA PENILAIAN KASI'!H37</f>
        <v>Lengkap</v>
      </c>
      <c r="I96" s="13" t="str">
        <f>'[1]DATA PENILAIAN KASI'!I37</f>
        <v>Kurang Melaksanakan</v>
      </c>
      <c r="J96" s="15" t="str">
        <f>'[1]DATA PENILAIAN KASI'!J37</f>
        <v>Kurang melaksanakan</v>
      </c>
      <c r="K96" s="15" t="str">
        <f>'[1]DATA PENILAIAN KASI'!K37</f>
        <v>Hadir 100%</v>
      </c>
      <c r="L96" s="15" t="str">
        <f>'[1]DATA PENILAIAN KASI'!L37</f>
        <v>Tidak ada Pelanggaran</v>
      </c>
      <c r="M96" s="13" t="str">
        <f>'[1]DATA PENILAIAN KASI'!M37</f>
        <v>Bagus</v>
      </c>
    </row>
    <row r="97" spans="2:13" x14ac:dyDescent="0.3">
      <c r="B97" s="18" t="str">
        <f>'[1]DATA PENILAIAN KASI'!B38</f>
        <v>Dimas Eka</v>
      </c>
      <c r="C97" s="22" t="str">
        <f>'[1]DATA PENILAIAN KASI'!C38</f>
        <v>Warehouse</v>
      </c>
      <c r="D97" s="15" t="str">
        <f>'[1]DATA PENILAIAN KASI'!D38</f>
        <v>Baik</v>
      </c>
      <c r="E97" s="13" t="str">
        <f>'[1]DATA PENILAIAN KASI'!E38</f>
        <v>Pekerjaan selesai 80-90%</v>
      </c>
      <c r="F97" s="48" t="str">
        <f>'[1]DATA PENILAIAN KASI'!F38</f>
        <v>Mampu</v>
      </c>
      <c r="G97" s="15" t="str">
        <f>'[1]DATA PENILAIAN KASI'!G38</f>
        <v>Mampu</v>
      </c>
      <c r="H97" s="13" t="str">
        <f>'[1]DATA PENILAIAN KASI'!H38</f>
        <v>Lengkap</v>
      </c>
      <c r="I97" s="13" t="str">
        <f>'[1]DATA PENILAIAN KASI'!I38</f>
        <v>Kurang Melaksanakan</v>
      </c>
      <c r="J97" s="15" t="str">
        <f>'[1]DATA PENILAIAN KASI'!J38</f>
        <v>Kurang melaksanakan</v>
      </c>
      <c r="K97" s="15" t="str">
        <f>'[1]DATA PENILAIAN KASI'!K38</f>
        <v>Hadir 100%</v>
      </c>
      <c r="L97" s="15" t="str">
        <f>'[1]DATA PENILAIAN KASI'!L38</f>
        <v>Sedikit Pelanggaran</v>
      </c>
      <c r="M97" s="13" t="str">
        <f>'[1]DATA PENILAIAN KASI'!M38</f>
        <v>Bagus</v>
      </c>
    </row>
    <row r="98" spans="2:13" x14ac:dyDescent="0.3">
      <c r="B98" s="18" t="str">
        <f>'[1]DATA PENILAIAN KASI'!B39</f>
        <v>Dani Arief Bahtiar</v>
      </c>
      <c r="C98" s="22" t="str">
        <f>'[1]DATA PENILAIAN KASI'!C39</f>
        <v>Fabrikasi</v>
      </c>
      <c r="D98" s="15" t="str">
        <f>'[1]DATA PENILAIAN KASI'!D39</f>
        <v>Baik</v>
      </c>
      <c r="E98" s="13" t="str">
        <f>'[1]DATA PENILAIAN KASI'!E39</f>
        <v>Pekerjaan selesai 60-79%</v>
      </c>
      <c r="F98" s="48" t="str">
        <f>'[1]DATA PENILAIAN KASI'!F39</f>
        <v>Kurang Mampu</v>
      </c>
      <c r="G98" s="15" t="str">
        <f>'[1]DATA PENILAIAN KASI'!G39</f>
        <v>Mampu</v>
      </c>
      <c r="H98" s="13" t="str">
        <f>'[1]DATA PENILAIAN KASI'!H39</f>
        <v>Lengkap</v>
      </c>
      <c r="I98" s="13" t="str">
        <f>'[1]DATA PENILAIAN KASI'!I39</f>
        <v>Kurang Melaksanakan</v>
      </c>
      <c r="J98" s="15" t="str">
        <f>'[1]DATA PENILAIAN KASI'!J39</f>
        <v>Kurang melaksanakan</v>
      </c>
      <c r="K98" s="15" t="str">
        <f>'[1]DATA PENILAIAN KASI'!K39</f>
        <v>Hadir 100%</v>
      </c>
      <c r="L98" s="15" t="str">
        <f>'[1]DATA PENILAIAN KASI'!L39</f>
        <v>Sedikit Pelanggaran</v>
      </c>
      <c r="M98" s="13" t="str">
        <f>'[1]DATA PENILAIAN KASI'!M39</f>
        <v>Bagus</v>
      </c>
    </row>
    <row r="99" spans="2:13" x14ac:dyDescent="0.3">
      <c r="B99" s="18" t="str">
        <f>'[1]DATA PENILAIAN KASI'!B40</f>
        <v>M. Rodi</v>
      </c>
      <c r="C99" s="22" t="str">
        <f>'[1]DATA PENILAIAN KASI'!C40</f>
        <v>Colter</v>
      </c>
      <c r="D99" s="15" t="str">
        <f>'[1]DATA PENILAIAN KASI'!D40</f>
        <v>Sangat Baik</v>
      </c>
      <c r="E99" s="13" t="str">
        <f>'[1]DATA PENILAIAN KASI'!E40</f>
        <v>Pekerjaan selesai 80-90%</v>
      </c>
      <c r="F99" s="48" t="str">
        <f>'[1]DATA PENILAIAN KASI'!F40</f>
        <v>Mampu</v>
      </c>
      <c r="G99" s="15" t="str">
        <f>'[1]DATA PENILAIAN KASI'!G40</f>
        <v>Kurang Mampu</v>
      </c>
      <c r="H99" s="13" t="str">
        <f>'[1]DATA PENILAIAN KASI'!H40</f>
        <v>Kurang Lengkap</v>
      </c>
      <c r="I99" s="13" t="str">
        <f>'[1]DATA PENILAIAN KASI'!I40</f>
        <v>Kurang melaksanakan</v>
      </c>
      <c r="J99" s="15" t="str">
        <f>'[1]DATA PENILAIAN KASI'!J40</f>
        <v>Melaksanakan</v>
      </c>
      <c r="K99" s="15" t="str">
        <f>'[1]DATA PENILAIAN KASI'!K40</f>
        <v>Hadir 100%</v>
      </c>
      <c r="L99" s="15" t="str">
        <f>'[1]DATA PENILAIAN KASI'!L40</f>
        <v>Tidak ada Pelanggaran</v>
      </c>
      <c r="M99" s="13" t="str">
        <f>'[1]DATA PENILAIAN KASI'!M40</f>
        <v>Bagus</v>
      </c>
    </row>
    <row r="100" spans="2:13" x14ac:dyDescent="0.3">
      <c r="B100" s="18" t="str">
        <f>'[1]DATA PENILAIAN KASI'!B41</f>
        <v>Rusmanto</v>
      </c>
      <c r="C100" s="22" t="str">
        <f>'[1]DATA PENILAIAN KASI'!C41</f>
        <v>Connecting Rod</v>
      </c>
      <c r="D100" s="15" t="str">
        <f>'[1]DATA PENILAIAN KASI'!D41</f>
        <v>Sangat Baik</v>
      </c>
      <c r="E100" s="13" t="str">
        <f>'[1]DATA PENILAIAN KASI'!E41</f>
        <v>Pekerjaan selesai 80-90%</v>
      </c>
      <c r="F100" s="48" t="str">
        <f>'[1]DATA PENILAIAN KASI'!F41</f>
        <v>Mampu</v>
      </c>
      <c r="G100" s="15" t="str">
        <f>'[1]DATA PENILAIAN KASI'!G41</f>
        <v>Mampu</v>
      </c>
      <c r="H100" s="13" t="str">
        <f>'[1]DATA PENILAIAN KASI'!H41</f>
        <v>Lengkap</v>
      </c>
      <c r="I100" s="13" t="str">
        <f>'[1]DATA PENILAIAN KASI'!I41</f>
        <v>Melaksanakan</v>
      </c>
      <c r="J100" s="15" t="str">
        <f>'[1]DATA PENILAIAN KASI'!J41</f>
        <v>Kurang melaksanakan</v>
      </c>
      <c r="K100" s="15" t="str">
        <f>'[1]DATA PENILAIAN KASI'!K41</f>
        <v>Hadir 100%</v>
      </c>
      <c r="L100" s="15" t="str">
        <f>'[1]DATA PENILAIAN KASI'!L41</f>
        <v>Tidak ada Pelanggaran</v>
      </c>
      <c r="M100" s="13" t="str">
        <f>'[1]DATA PENILAIAN KASI'!M41</f>
        <v>Bagus</v>
      </c>
    </row>
    <row r="101" spans="2:13" x14ac:dyDescent="0.3">
      <c r="B101" s="18" t="str">
        <f>'[1]DATA PENILAIAN KASI'!B42</f>
        <v>Halimin Eko Budianto</v>
      </c>
      <c r="C101" s="22" t="str">
        <f>'[1]DATA PENILAIAN KASI'!C42</f>
        <v>Cylinder Cop</v>
      </c>
      <c r="D101" s="15" t="str">
        <f>'[1]DATA PENILAIAN KASI'!D42</f>
        <v>Kurang</v>
      </c>
      <c r="E101" s="13" t="str">
        <f>'[1]DATA PENILAIAN KASI'!E42</f>
        <v>Pekerjaan selesai 80-90%</v>
      </c>
      <c r="F101" s="48" t="str">
        <f>'[1]DATA PENILAIAN KASI'!F42</f>
        <v>Kurang Mampu</v>
      </c>
      <c r="G101" s="15" t="str">
        <f>'[1]DATA PENILAIAN KASI'!G42</f>
        <v>Kurang Mampu</v>
      </c>
      <c r="H101" s="13" t="str">
        <f>'[1]DATA PENILAIAN KASI'!H42</f>
        <v>Kurang Lengkap</v>
      </c>
      <c r="I101" s="13" t="str">
        <f>'[1]DATA PENILAIAN KASI'!I42</f>
        <v>Kurang melaksanakan</v>
      </c>
      <c r="J101" s="15" t="str">
        <f>'[1]DATA PENILAIAN KASI'!J42</f>
        <v>Kurang melaksanakan</v>
      </c>
      <c r="K101" s="15" t="str">
        <f>'[1]DATA PENILAIAN KASI'!K42</f>
        <v>Hadir 80-90%</v>
      </c>
      <c r="L101" s="15" t="str">
        <f>'[1]DATA PENILAIAN KASI'!L42</f>
        <v>Sedikit Pelanggaran</v>
      </c>
      <c r="M101" s="13" t="str">
        <f>'[1]DATA PENILAIAN KASI'!M42</f>
        <v>Kurang</v>
      </c>
    </row>
    <row r="102" spans="2:13" x14ac:dyDescent="0.3">
      <c r="B102" s="18" t="str">
        <f>'[1]DATA PENILAIAN KASI'!B43</f>
        <v>Akbar Bintang</v>
      </c>
      <c r="C102" s="22" t="str">
        <f>'[1]DATA PENILAIAN KASI'!C43</f>
        <v>Digital Marketing</v>
      </c>
      <c r="D102" s="15" t="str">
        <f>'[1]DATA PENILAIAN KASI'!D43</f>
        <v>Baik</v>
      </c>
      <c r="E102" s="13" t="str">
        <f>'[1]DATA PENILAIAN KASI'!E43</f>
        <v>Pekerjaan selesai &gt; 90%</v>
      </c>
      <c r="F102" s="48" t="str">
        <f>'[1]DATA PENILAIAN KASI'!F43</f>
        <v>Mampu</v>
      </c>
      <c r="G102" s="15" t="str">
        <f>'[1]DATA PENILAIAN KASI'!G43</f>
        <v>Mampu</v>
      </c>
      <c r="H102" s="13" t="str">
        <f>'[1]DATA PENILAIAN KASI'!H43</f>
        <v>Sangat Lengkap</v>
      </c>
      <c r="I102" s="13" t="str">
        <f>'[1]DATA PENILAIAN KASI'!I43</f>
        <v>Kurang Melaksanakan</v>
      </c>
      <c r="J102" s="15" t="str">
        <f>'[1]DATA PENILAIAN KASI'!J43</f>
        <v>Kurang melaksanakan</v>
      </c>
      <c r="K102" s="15" t="str">
        <f>'[1]DATA PENILAIAN KASI'!K43</f>
        <v>Hadir 80-90%</v>
      </c>
      <c r="L102" s="15" t="str">
        <f>'[1]DATA PENILAIAN KASI'!L43</f>
        <v>Tidak ada Pelanggaran</v>
      </c>
      <c r="M102" s="13" t="str">
        <f>'[1]DATA PENILAIAN KASI'!M43</f>
        <v>Bagus</v>
      </c>
    </row>
    <row r="103" spans="2:13" x14ac:dyDescent="0.3">
      <c r="B103" s="18" t="str">
        <f>'[1]DATA PENILAIAN KASI'!B44</f>
        <v>Arief Setiawan</v>
      </c>
      <c r="C103" s="22" t="str">
        <f>'[1]DATA PENILAIAN KASI'!C44</f>
        <v>Automotive dan Marketing</v>
      </c>
      <c r="D103" s="15" t="str">
        <f>'[1]DATA PENILAIAN KASI'!D44</f>
        <v>Baik</v>
      </c>
      <c r="E103" s="13" t="str">
        <f>'[1]DATA PENILAIAN KASI'!E44</f>
        <v>Pekerjaan selesai 80-90%</v>
      </c>
      <c r="F103" s="48" t="str">
        <f>'[1]DATA PENILAIAN KASI'!F44</f>
        <v>Mampu</v>
      </c>
      <c r="G103" s="15" t="str">
        <f>'[1]DATA PENILAIAN KASI'!G44</f>
        <v>Sangat Mampu</v>
      </c>
      <c r="H103" s="13" t="str">
        <f>'[1]DATA PENILAIAN KASI'!H44</f>
        <v>Lengkap</v>
      </c>
      <c r="I103" s="13" t="str">
        <f>'[1]DATA PENILAIAN KASI'!I44</f>
        <v>Kurang Melaksanakan</v>
      </c>
      <c r="J103" s="15" t="str">
        <f>'[1]DATA PENILAIAN KASI'!J44</f>
        <v>Kurang Melaksanakan</v>
      </c>
      <c r="K103" s="15" t="str">
        <f>'[1]DATA PENILAIAN KASI'!K44</f>
        <v>Hadir &gt;=90%</v>
      </c>
      <c r="L103" s="15" t="str">
        <f>'[1]DATA PENILAIAN KASI'!L44</f>
        <v>Sedikit Pelanggaran</v>
      </c>
      <c r="M103" s="13" t="str">
        <f>'[1]DATA PENILAIAN KASI'!M44</f>
        <v>Bagus</v>
      </c>
    </row>
    <row r="104" spans="2:13" x14ac:dyDescent="0.3">
      <c r="B104" s="18" t="str">
        <f>'[1]DATA PENILAIAN KASI'!B45</f>
        <v>Ahmad Doni Bait</v>
      </c>
      <c r="C104" s="22" t="str">
        <f>'[1]DATA PENILAIAN KASI'!C45</f>
        <v>Electrical</v>
      </c>
      <c r="D104" s="15" t="str">
        <f>'[1]DATA PENILAIAN KASI'!D45</f>
        <v>Kurang</v>
      </c>
      <c r="E104" s="13" t="str">
        <f>'[1]DATA PENILAIAN KASI'!E45</f>
        <v>Pekerjaan selesai 60-79%</v>
      </c>
      <c r="F104" s="48" t="str">
        <f>'[1]DATA PENILAIAN KASI'!F45</f>
        <v>Kurang Mampu</v>
      </c>
      <c r="G104" s="15" t="str">
        <f>'[1]DATA PENILAIAN KASI'!G45</f>
        <v>Mampu</v>
      </c>
      <c r="H104" s="13" t="str">
        <f>'[1]DATA PENILAIAN KASI'!H45</f>
        <v>Sangat Lengkap</v>
      </c>
      <c r="I104" s="13" t="str">
        <f>'[1]DATA PENILAIAN KASI'!I45</f>
        <v>Kurang melaksanakan</v>
      </c>
      <c r="J104" s="15" t="str">
        <f>'[1]DATA PENILAIAN KASI'!J45</f>
        <v>Kurang melaksanakan</v>
      </c>
      <c r="K104" s="15" t="str">
        <f>'[1]DATA PENILAIAN KASI'!K45</f>
        <v>Hadir 100%</v>
      </c>
      <c r="L104" s="15" t="str">
        <f>'[1]DATA PENILAIAN KASI'!L45</f>
        <v>Sedikit Pelanggaran</v>
      </c>
      <c r="M104" s="13" t="str">
        <f>'[1]DATA PENILAIAN KASI'!M45</f>
        <v>Kurang</v>
      </c>
    </row>
    <row r="105" spans="2:13" x14ac:dyDescent="0.3">
      <c r="B105" s="18" t="str">
        <f>'[1]DATA PENILAIAN KASI'!B46</f>
        <v>Denny Susanto</v>
      </c>
      <c r="C105" s="22" t="str">
        <f>'[1]DATA PENILAIAN KASI'!C46</f>
        <v>Finance</v>
      </c>
      <c r="D105" s="15" t="str">
        <f>'[1]DATA PENILAIAN KASI'!D46</f>
        <v>Baik</v>
      </c>
      <c r="E105" s="13" t="str">
        <f>'[1]DATA PENILAIAN KASI'!E46</f>
        <v>Pekerjaan selesai 80-90%</v>
      </c>
      <c r="F105" s="48" t="str">
        <f>'[1]DATA PENILAIAN KASI'!F46</f>
        <v>Mampu</v>
      </c>
      <c r="G105" s="15" t="str">
        <f>'[1]DATA PENILAIAN KASI'!G46</f>
        <v>Tidak Mampu</v>
      </c>
      <c r="H105" s="13" t="str">
        <f>'[1]DATA PENILAIAN KASI'!H46</f>
        <v>Kurang Lengkap</v>
      </c>
      <c r="I105" s="13" t="str">
        <f>'[1]DATA PENILAIAN KASI'!I46</f>
        <v>Kurang Melaksanakan</v>
      </c>
      <c r="J105" s="15" t="str">
        <f>'[1]DATA PENILAIAN KASI'!J46</f>
        <v>Kurang melaksanakan</v>
      </c>
      <c r="K105" s="15" t="str">
        <f>'[1]DATA PENILAIAN KASI'!K46</f>
        <v>Hadir &gt;=90%</v>
      </c>
      <c r="L105" s="15" t="str">
        <f>'[1]DATA PENILAIAN KASI'!L46</f>
        <v>Sedikit Pelanggaran</v>
      </c>
      <c r="M105" s="13" t="str">
        <f>'[1]DATA PENILAIAN KASI'!M46</f>
        <v>Kurang</v>
      </c>
    </row>
    <row r="106" spans="2:13" x14ac:dyDescent="0.3">
      <c r="B106" s="18" t="str">
        <f>'[1]DATA PENILAIAN KASI'!B47</f>
        <v>Singgih Andriyanto</v>
      </c>
      <c r="C106" s="22" t="str">
        <f>'[1]DATA PENILAIAN KASI'!C47</f>
        <v>Lathe Konvensional</v>
      </c>
      <c r="D106" s="15" t="str">
        <f>'[1]DATA PENILAIAN KASI'!D47</f>
        <v>Baik</v>
      </c>
      <c r="E106" s="13" t="str">
        <f>'[1]DATA PENILAIAN KASI'!E47</f>
        <v>Pekerjaan selesai 80-90%</v>
      </c>
      <c r="F106" s="48" t="str">
        <f>'[1]DATA PENILAIAN KASI'!F47</f>
        <v>Kurang Mampu</v>
      </c>
      <c r="G106" s="15" t="str">
        <f>'[1]DATA PENILAIAN KASI'!G47</f>
        <v>Mampu</v>
      </c>
      <c r="H106" s="13" t="str">
        <f>'[1]DATA PENILAIAN KASI'!H47</f>
        <v>Kurang Lengkap</v>
      </c>
      <c r="I106" s="13" t="str">
        <f>'[1]DATA PENILAIAN KASI'!I47</f>
        <v>Kurang melaksanakan</v>
      </c>
      <c r="J106" s="15" t="str">
        <f>'[1]DATA PENILAIAN KASI'!J47</f>
        <v>Kurang melaksanakan</v>
      </c>
      <c r="K106" s="15" t="str">
        <f>'[1]DATA PENILAIAN KASI'!K47</f>
        <v>Hadir &gt;=90%</v>
      </c>
      <c r="L106" s="15" t="str">
        <f>'[1]DATA PENILAIAN KASI'!L47</f>
        <v>Sedikit Pelanggaran</v>
      </c>
      <c r="M106" s="13" t="str">
        <f>'[1]DATA PENILAIAN KASI'!M47</f>
        <v>Bagus</v>
      </c>
    </row>
    <row r="107" spans="2:13" x14ac:dyDescent="0.3">
      <c r="B107" s="18" t="str">
        <f>'[1]DATA PENILAIAN KASI'!B48</f>
        <v>Dhonny Ari</v>
      </c>
      <c r="C107" s="22" t="str">
        <f>'[1]DATA PENILAIAN KASI'!C48</f>
        <v>Line Boring</v>
      </c>
      <c r="D107" s="15" t="str">
        <f>'[1]DATA PENILAIAN KASI'!D48</f>
        <v>Baik</v>
      </c>
      <c r="E107" s="13" t="str">
        <f>'[1]DATA PENILAIAN KASI'!E48</f>
        <v>Pekerjaan selesai 80-90%</v>
      </c>
      <c r="F107" s="48" t="str">
        <f>'[1]DATA PENILAIAN KASI'!F48</f>
        <v>Kurang Mampu</v>
      </c>
      <c r="G107" s="15" t="str">
        <f>'[1]DATA PENILAIAN KASI'!G48</f>
        <v>Mampu</v>
      </c>
      <c r="H107" s="13" t="str">
        <f>'[1]DATA PENILAIAN KASI'!H48</f>
        <v>Lengkap</v>
      </c>
      <c r="I107" s="13" t="str">
        <f>'[1]DATA PENILAIAN KASI'!I48</f>
        <v>Kurang melaksanakan</v>
      </c>
      <c r="J107" s="15" t="str">
        <f>'[1]DATA PENILAIAN KASI'!J48</f>
        <v>Kurang melaksanakan</v>
      </c>
      <c r="K107" s="15" t="str">
        <f>'[1]DATA PENILAIAN KASI'!K48</f>
        <v>Hadir 100%</v>
      </c>
      <c r="L107" s="15" t="str">
        <f>'[1]DATA PENILAIAN KASI'!L48</f>
        <v>Tidak ada Pelanggaran</v>
      </c>
      <c r="M107" s="13" t="str">
        <f>'[1]DATA PENILAIAN KASI'!M48</f>
        <v>Bagus</v>
      </c>
    </row>
    <row r="108" spans="2:13" x14ac:dyDescent="0.3">
      <c r="B108" s="18" t="str">
        <f>'[1]DATA PENILAIAN KASI'!B49</f>
        <v>Taufik Ismail</v>
      </c>
      <c r="C108" s="22" t="str">
        <f>'[1]DATA PENILAIAN KASI'!C49</f>
        <v>Miling</v>
      </c>
      <c r="D108" s="15" t="str">
        <f>'[1]DATA PENILAIAN KASI'!D49</f>
        <v>Baik</v>
      </c>
      <c r="E108" s="13" t="str">
        <f>'[1]DATA PENILAIAN KASI'!E49</f>
        <v>Pekerjaan selesai 80-90%</v>
      </c>
      <c r="F108" s="48" t="str">
        <f>'[1]DATA PENILAIAN KASI'!F49</f>
        <v>Mampu</v>
      </c>
      <c r="G108" s="15" t="str">
        <f>'[1]DATA PENILAIAN KASI'!G49</f>
        <v>Mampu</v>
      </c>
      <c r="H108" s="13" t="str">
        <f>'[1]DATA PENILAIAN KASI'!H49</f>
        <v>Lengkap</v>
      </c>
      <c r="I108" s="13" t="str">
        <f>'[1]DATA PENILAIAN KASI'!I49</f>
        <v>Kurang melaksanakan</v>
      </c>
      <c r="J108" s="15" t="str">
        <f>'[1]DATA PENILAIAN KASI'!J49</f>
        <v>Kurang melaksanakan</v>
      </c>
      <c r="K108" s="15" t="str">
        <f>'[1]DATA PENILAIAN KASI'!K49</f>
        <v>Hadir &gt;=90%</v>
      </c>
      <c r="L108" s="15" t="str">
        <f>'[1]DATA PENILAIAN KASI'!L49</f>
        <v>Tidak ada Pelanggaran</v>
      </c>
      <c r="M108" s="13" t="str">
        <f>'[1]DATA PENILAIAN KASI'!M49</f>
        <v>Bagus</v>
      </c>
    </row>
    <row r="109" spans="2:13" x14ac:dyDescent="0.3">
      <c r="B109" s="18" t="str">
        <f>'[1]DATA PENILAIAN KASI'!B50</f>
        <v>Slamet Sulton</v>
      </c>
      <c r="C109" s="22" t="str">
        <f>'[1]DATA PENILAIAN KASI'!C50</f>
        <v>Surface Grinding</v>
      </c>
      <c r="D109" s="15" t="str">
        <f>'[1]DATA PENILAIAN KASI'!D50</f>
        <v>Kurang</v>
      </c>
      <c r="E109" s="13" t="str">
        <f>'[1]DATA PENILAIAN KASI'!E50</f>
        <v>Pekerjaan selesai 60-79%</v>
      </c>
      <c r="F109" s="48" t="str">
        <f>'[1]DATA PENILAIAN KASI'!F50</f>
        <v>Kurang Mampu</v>
      </c>
      <c r="G109" s="13" t="str">
        <f>'[1]DATA PENILAIAN KASI'!G50</f>
        <v>Mampu</v>
      </c>
      <c r="H109" s="15" t="str">
        <f>'[1]DATA PENILAIAN KASI'!H50</f>
        <v>Lengkap</v>
      </c>
      <c r="I109" s="13" t="str">
        <f>'[1]DATA PENILAIAN KASI'!I50</f>
        <v>Kurang melaksanakan</v>
      </c>
      <c r="J109" s="15" t="str">
        <f>'[1]DATA PENILAIAN KASI'!J50</f>
        <v>Kurang melaksanakan</v>
      </c>
      <c r="K109" s="13" t="str">
        <f>'[1]DATA PENILAIAN KASI'!K50</f>
        <v>Hadir 100%</v>
      </c>
      <c r="L109" s="15" t="str">
        <f>'[1]DATA PENILAIAN KASI'!L50</f>
        <v>Sedikit Pelanggaran</v>
      </c>
      <c r="M109" s="13" t="str">
        <f>'[1]DATA PENILAIAN KASI'!M50</f>
        <v>Kurang</v>
      </c>
    </row>
    <row r="111" spans="2:13" x14ac:dyDescent="0.3">
      <c r="B111" s="1" t="s">
        <v>66</v>
      </c>
    </row>
    <row r="113" spans="2:16" x14ac:dyDescent="0.3">
      <c r="B113" s="60" t="s">
        <v>62</v>
      </c>
      <c r="C113" s="50" t="s">
        <v>63</v>
      </c>
      <c r="D113" s="24"/>
      <c r="E113" s="24"/>
      <c r="F113" s="24"/>
      <c r="G113" s="24"/>
      <c r="H113" s="24"/>
      <c r="I113" s="24"/>
      <c r="J113" s="24"/>
      <c r="K113" s="24"/>
      <c r="L113" s="25"/>
      <c r="M113" s="55" t="s">
        <v>67</v>
      </c>
      <c r="N113" s="55" t="s">
        <v>68</v>
      </c>
      <c r="O113" s="55" t="s">
        <v>69</v>
      </c>
    </row>
    <row r="114" spans="2:16" x14ac:dyDescent="0.3">
      <c r="B114" s="60"/>
      <c r="C114" s="48" t="s">
        <v>81</v>
      </c>
      <c r="D114" s="14" t="s">
        <v>4</v>
      </c>
      <c r="E114" s="46" t="s">
        <v>82</v>
      </c>
      <c r="F114" s="32" t="s">
        <v>83</v>
      </c>
      <c r="G114" s="31" t="s">
        <v>6</v>
      </c>
      <c r="H114" s="32" t="s">
        <v>5</v>
      </c>
      <c r="I114" s="31" t="s">
        <v>84</v>
      </c>
      <c r="J114" s="19" t="s">
        <v>64</v>
      </c>
      <c r="K114" s="20" t="s">
        <v>65</v>
      </c>
      <c r="L114" s="21" t="s">
        <v>9</v>
      </c>
      <c r="M114" s="56"/>
      <c r="N114" s="56"/>
      <c r="O114" s="56"/>
    </row>
    <row r="115" spans="2:16" x14ac:dyDescent="0.3">
      <c r="B115" s="61" t="s">
        <v>100</v>
      </c>
      <c r="C115" s="26">
        <f>F63*$C$61</f>
        <v>8.4606124426273507E-2</v>
      </c>
      <c r="D115" s="27">
        <f>I63*$C$62</f>
        <v>4.593357447362497E-2</v>
      </c>
      <c r="E115" s="27">
        <f>L63*$C$63</f>
        <v>2.2066816697534762E-2</v>
      </c>
      <c r="F115" s="27">
        <f>F74*$C$64</f>
        <v>1.8656416145625479E-2</v>
      </c>
      <c r="G115" s="27">
        <f>I70*$C$65</f>
        <v>8.14664084320702E-3</v>
      </c>
      <c r="H115" s="27">
        <f>F69*$C$66</f>
        <v>5.574434970665558E-3</v>
      </c>
      <c r="I115" s="27">
        <f>C74*$C$67</f>
        <v>1.7475884410182482E-2</v>
      </c>
      <c r="J115" s="27">
        <f>C81*$C$68</f>
        <v>2.7391850425221503E-2</v>
      </c>
      <c r="K115" s="27">
        <f>F79*$C$69</f>
        <v>5.0544540601510479E-2</v>
      </c>
      <c r="L115" s="27">
        <f>I76*$C$70</f>
        <v>9.5041863587435414E-3</v>
      </c>
      <c r="M115" s="27">
        <f>SUM(C115:L115)*1000</f>
        <v>289.90046935258937</v>
      </c>
      <c r="N115" s="28" t="str">
        <f>IF(M115&gt;=375,"A",IF(AND(M115&gt;=300,M115&lt;375),"B",IF(AND(M115&gt;=200,M115&lt;300),"C","D")))</f>
        <v>C</v>
      </c>
      <c r="O115" s="13" t="str">
        <f>IF(N115="A","100% dari pembagaian omset per divisi",IF(N115="B","75% dari pembagian omset per divisi",IF(N115="C","50% dari pembagian omset per divisi","25% dari pembagian omset per divisi")))</f>
        <v>50% dari pembagian omset per divisi</v>
      </c>
      <c r="P115" s="62" t="s">
        <v>76</v>
      </c>
    </row>
    <row r="116" spans="2:16" x14ac:dyDescent="0.3">
      <c r="B116" s="61" t="s">
        <v>101</v>
      </c>
      <c r="C116" s="26">
        <f>F62*$C$61</f>
        <v>0.17923674387794267</v>
      </c>
      <c r="D116" s="27">
        <f>I63*$C$62</f>
        <v>4.593357447362497E-2</v>
      </c>
      <c r="E116" s="27">
        <f t="shared" ref="E116" si="13">L64*$C$63</f>
        <v>8.9073412585895413E-3</v>
      </c>
      <c r="F116" s="27">
        <f t="shared" ref="F116:F132" si="14">F75*$C$64</f>
        <v>8.8842166474018547E-3</v>
      </c>
      <c r="G116" s="27">
        <f>I70*$C$65</f>
        <v>8.14664084320702E-3</v>
      </c>
      <c r="H116" s="27">
        <f>F69*$C$66</f>
        <v>5.574434970665558E-3</v>
      </c>
      <c r="I116" s="27">
        <f>C75*$C$67</f>
        <v>4.9774825329696546E-3</v>
      </c>
      <c r="J116" s="27">
        <f>C81*$C$68</f>
        <v>2.7391850425221503E-2</v>
      </c>
      <c r="K116" s="27">
        <f>F80*$C$69</f>
        <v>1.2776137246668673E-2</v>
      </c>
      <c r="L116" s="27">
        <f>I76*$C$70</f>
        <v>9.5041863587435414E-3</v>
      </c>
      <c r="M116" s="27">
        <f t="shared" ref="M116:M132" si="15">SUM(C116:L116)*1000</f>
        <v>311.33260863503506</v>
      </c>
      <c r="N116" s="28" t="str">
        <f t="shared" ref="N116:N132" si="16">IF(M116&gt;=375,"A",IF(AND(M116&gt;=300,M116&lt;375),"B",IF(AND(M116&gt;=200,M116&lt;300),"C","D")))</f>
        <v>B</v>
      </c>
      <c r="O116" s="13" t="str">
        <f t="shared" ref="O116:O132" si="17">IF(N116="A","100% dari pembagaian omset per divisi",IF(N116="B","75% dari pembagian omset per divisi",IF(N116="C","50% dari pembagian omset per divisi","25% dari pembagian omset per divisi")))</f>
        <v>75% dari pembagian omset per divisi</v>
      </c>
      <c r="P116" s="62" t="s">
        <v>74</v>
      </c>
    </row>
    <row r="117" spans="2:16" x14ac:dyDescent="0.3">
      <c r="B117" s="61" t="s">
        <v>102</v>
      </c>
      <c r="C117" s="26">
        <f>F64*$C$61</f>
        <v>3.9154588450378593E-2</v>
      </c>
      <c r="D117" s="27">
        <f>I64*$C$62</f>
        <v>1.7565647254753517E-2</v>
      </c>
      <c r="E117" s="27">
        <f>L63*$C$63</f>
        <v>2.2066816697534762E-2</v>
      </c>
      <c r="F117" s="27">
        <f>F74*$C$64</f>
        <v>1.8656416145625479E-2</v>
      </c>
      <c r="G117" s="27">
        <f>I71*$C$65</f>
        <v>3.172923210445338E-3</v>
      </c>
      <c r="H117" s="27">
        <f>F69*$C$66</f>
        <v>5.574434970665558E-3</v>
      </c>
      <c r="I117" s="27">
        <f>C75*$C$67</f>
        <v>4.9774825329696546E-3</v>
      </c>
      <c r="J117" s="27">
        <f>C81*$C$68</f>
        <v>2.7391850425221503E-2</v>
      </c>
      <c r="K117" s="27">
        <f>F80*$C$69</f>
        <v>1.2776137246668673E-2</v>
      </c>
      <c r="L117" s="27">
        <f>I77*$C$70</f>
        <v>3.8639416089038935E-3</v>
      </c>
      <c r="M117" s="27">
        <f t="shared" si="15"/>
        <v>155.20023854316696</v>
      </c>
      <c r="N117" s="28" t="str">
        <f t="shared" si="16"/>
        <v>D</v>
      </c>
      <c r="O117" s="13" t="str">
        <f t="shared" si="17"/>
        <v>25% dari pembagian omset per divisi</v>
      </c>
      <c r="P117" s="62" t="s">
        <v>74</v>
      </c>
    </row>
    <row r="118" spans="2:16" x14ac:dyDescent="0.3">
      <c r="B118" s="61" t="s">
        <v>103</v>
      </c>
      <c r="C118" s="26">
        <f>F64*$C$61</f>
        <v>3.9154588450378593E-2</v>
      </c>
      <c r="D118" s="27">
        <f>I64*$C$62</f>
        <v>1.7565647254753517E-2</v>
      </c>
      <c r="E118" s="27">
        <f>L64*$C$63</f>
        <v>8.9073412585895413E-3</v>
      </c>
      <c r="F118" s="27">
        <f>F75*$C$64</f>
        <v>8.8842166474018547E-3</v>
      </c>
      <c r="G118" s="27">
        <f>I71*$C$65</f>
        <v>3.172923210445338E-3</v>
      </c>
      <c r="H118" s="27">
        <f>F69*$C$66</f>
        <v>5.574434970665558E-3</v>
      </c>
      <c r="I118" s="27">
        <f>C75*$C$67</f>
        <v>4.9774825329696546E-3</v>
      </c>
      <c r="J118" s="27">
        <f>C79*$C$68</f>
        <v>5.7579140064465996E-2</v>
      </c>
      <c r="K118" s="27">
        <f>F80*$C$69</f>
        <v>1.2776137246668673E-2</v>
      </c>
      <c r="L118" s="27">
        <f>I76*$C$70</f>
        <v>9.5041863587435414E-3</v>
      </c>
      <c r="M118" s="27">
        <f t="shared" si="15"/>
        <v>168.09609799508226</v>
      </c>
      <c r="N118" s="28" t="str">
        <f t="shared" si="16"/>
        <v>D</v>
      </c>
      <c r="O118" s="13" t="str">
        <f t="shared" si="17"/>
        <v>25% dari pembagian omset per divisi</v>
      </c>
      <c r="P118" s="62" t="s">
        <v>74</v>
      </c>
    </row>
    <row r="119" spans="2:16" x14ac:dyDescent="0.3">
      <c r="B119" s="61" t="s">
        <v>104</v>
      </c>
      <c r="C119" s="26">
        <f>F62*$C$61</f>
        <v>0.17923674387794267</v>
      </c>
      <c r="D119" s="27">
        <f>I63*$C$62</f>
        <v>4.593357447362497E-2</v>
      </c>
      <c r="E119" s="27">
        <f>L63*$C$63</f>
        <v>2.2066816697534762E-2</v>
      </c>
      <c r="F119" s="27">
        <f>F74*$C$64</f>
        <v>1.8656416145625479E-2</v>
      </c>
      <c r="G119" s="27">
        <f>I70*$C$65</f>
        <v>8.14664084320702E-3</v>
      </c>
      <c r="H119" s="27">
        <f>F69*$C$66</f>
        <v>5.574434970665558E-3</v>
      </c>
      <c r="I119" s="27">
        <f>C75*$C$67</f>
        <v>4.9774825329696546E-3</v>
      </c>
      <c r="J119" s="27">
        <f>C79*$C$68</f>
        <v>5.7579140064465996E-2</v>
      </c>
      <c r="K119" s="27">
        <f>F79*$C$69</f>
        <v>5.0544540601510479E-2</v>
      </c>
      <c r="L119" s="27">
        <f>I76*$C$70</f>
        <v>9.5041863587435414E-3</v>
      </c>
      <c r="M119" s="27">
        <f t="shared" si="15"/>
        <v>402.2199765662902</v>
      </c>
      <c r="N119" s="28" t="str">
        <f t="shared" si="16"/>
        <v>A</v>
      </c>
      <c r="O119" s="13" t="str">
        <f t="shared" si="17"/>
        <v>100% dari pembagaian omset per divisi</v>
      </c>
      <c r="P119" s="62" t="s">
        <v>76</v>
      </c>
    </row>
    <row r="120" spans="2:16" x14ac:dyDescent="0.3">
      <c r="B120" s="23" t="s">
        <v>105</v>
      </c>
      <c r="C120" s="26">
        <f>F63*$C$61</f>
        <v>8.4606124426273507E-2</v>
      </c>
      <c r="D120" s="27">
        <f>I63*$C$62</f>
        <v>4.593357447362497E-2</v>
      </c>
      <c r="E120" s="27">
        <f>L63*$C$63</f>
        <v>2.2066816697534762E-2</v>
      </c>
      <c r="F120" s="27">
        <f>F74*$C$64</f>
        <v>1.8656416145625479E-2</v>
      </c>
      <c r="G120" s="27">
        <f>I70*$C$65</f>
        <v>8.14664084320702E-3</v>
      </c>
      <c r="H120" s="13">
        <f>F69*$C$66</f>
        <v>5.574434970665558E-3</v>
      </c>
      <c r="I120" s="13">
        <f>C75*$C$67</f>
        <v>4.9774825329696546E-3</v>
      </c>
      <c r="J120" s="13">
        <f>C79*$C$68</f>
        <v>5.7579140064465996E-2</v>
      </c>
      <c r="K120" s="27">
        <f>F80*$C$69</f>
        <v>1.2776137246668673E-2</v>
      </c>
      <c r="L120" s="13">
        <f>I76*$C$70</f>
        <v>9.5041863587435414E-3</v>
      </c>
      <c r="M120" s="27">
        <f t="shared" si="15"/>
        <v>269.82095375977917</v>
      </c>
      <c r="N120" s="28" t="str">
        <f t="shared" si="16"/>
        <v>C</v>
      </c>
      <c r="O120" s="13" t="str">
        <f t="shared" si="17"/>
        <v>50% dari pembagian omset per divisi</v>
      </c>
      <c r="P120" s="62" t="s">
        <v>76</v>
      </c>
    </row>
    <row r="121" spans="2:16" x14ac:dyDescent="0.3">
      <c r="B121" s="23" t="s">
        <v>106</v>
      </c>
      <c r="C121" s="26">
        <f>F63*$C$61</f>
        <v>8.4606124426273507E-2</v>
      </c>
      <c r="D121" s="27">
        <f>I64*$C$62</f>
        <v>1.7565647254753517E-2</v>
      </c>
      <c r="E121" s="27">
        <f>L64*$C$63</f>
        <v>8.9073412585895413E-3</v>
      </c>
      <c r="F121" s="27">
        <f>F74*$C$64</f>
        <v>1.8656416145625479E-2</v>
      </c>
      <c r="G121" s="27">
        <f>I70*$C$65</f>
        <v>8.14664084320702E-3</v>
      </c>
      <c r="H121" s="13">
        <f>F69*$C$66</f>
        <v>5.574434970665558E-3</v>
      </c>
      <c r="I121" s="13">
        <f>C75*$C$67</f>
        <v>4.9774825329696546E-3</v>
      </c>
      <c r="J121" s="13">
        <f>C79*$C$68</f>
        <v>5.7579140064465996E-2</v>
      </c>
      <c r="K121" s="27">
        <f>F80*$C$69</f>
        <v>1.2776137246668673E-2</v>
      </c>
      <c r="L121" s="13">
        <f>I76*$C$70</f>
        <v>9.5041863587435414E-3</v>
      </c>
      <c r="M121" s="27">
        <f t="shared" si="15"/>
        <v>228.29355110196246</v>
      </c>
      <c r="N121" s="28" t="str">
        <f t="shared" si="16"/>
        <v>C</v>
      </c>
      <c r="O121" s="13" t="str">
        <f t="shared" si="17"/>
        <v>50% dari pembagian omset per divisi</v>
      </c>
      <c r="P121" t="s">
        <v>74</v>
      </c>
    </row>
    <row r="122" spans="2:16" x14ac:dyDescent="0.3">
      <c r="B122" s="23" t="s">
        <v>107</v>
      </c>
      <c r="C122" s="26">
        <f>F62*$C$61</f>
        <v>0.17923674387794267</v>
      </c>
      <c r="D122" s="27">
        <f>I63*$C$62</f>
        <v>4.593357447362497E-2</v>
      </c>
      <c r="E122" s="27">
        <f>L63*$C$63</f>
        <v>2.2066816697534762E-2</v>
      </c>
      <c r="F122" s="27">
        <f>F75*$C$64</f>
        <v>8.8842166474018547E-3</v>
      </c>
      <c r="G122" s="27">
        <f>I71*$C$65</f>
        <v>3.172923210445338E-3</v>
      </c>
      <c r="H122" s="13">
        <f>F69*$C$66</f>
        <v>5.574434970665558E-3</v>
      </c>
      <c r="I122" s="13">
        <f>C74*$C$67</f>
        <v>1.7475884410182482E-2</v>
      </c>
      <c r="J122" s="13">
        <f>C79*$C$68</f>
        <v>5.7579140064465996E-2</v>
      </c>
      <c r="K122" s="27">
        <f>F79*$C$69</f>
        <v>5.0544540601510479E-2</v>
      </c>
      <c r="L122" s="13">
        <f>I76*$C$70</f>
        <v>9.5041863587435414E-3</v>
      </c>
      <c r="M122" s="27">
        <f t="shared" si="15"/>
        <v>399.97246131251774</v>
      </c>
      <c r="N122" s="28" t="str">
        <f t="shared" si="16"/>
        <v>A</v>
      </c>
      <c r="O122" s="13" t="str">
        <f t="shared" si="17"/>
        <v>100% dari pembagaian omset per divisi</v>
      </c>
      <c r="P122" s="62" t="s">
        <v>76</v>
      </c>
    </row>
    <row r="123" spans="2:16" x14ac:dyDescent="0.3">
      <c r="B123" s="23" t="s">
        <v>108</v>
      </c>
      <c r="C123" s="26">
        <f>F62*$C$61</f>
        <v>0.17923674387794267</v>
      </c>
      <c r="D123" s="27">
        <f>I63*$C$62</f>
        <v>4.593357447362497E-2</v>
      </c>
      <c r="E123" s="27">
        <f>L63*$C$63</f>
        <v>2.2066816697534762E-2</v>
      </c>
      <c r="F123" s="27">
        <f>F74*$C$64</f>
        <v>1.8656416145625479E-2</v>
      </c>
      <c r="G123" s="27">
        <f>I70*$C$65</f>
        <v>8.14664084320702E-3</v>
      </c>
      <c r="H123" s="13">
        <f>F68*$C$66</f>
        <v>1.9554465015341457E-2</v>
      </c>
      <c r="I123" s="13">
        <f>C75*$C$67</f>
        <v>4.9774825329696546E-3</v>
      </c>
      <c r="J123" s="13">
        <f>C79*$C$68</f>
        <v>5.7579140064465996E-2</v>
      </c>
      <c r="K123" s="27">
        <f>F79*$C$69</f>
        <v>5.0544540601510479E-2</v>
      </c>
      <c r="L123" s="13">
        <f>I76*$C$70</f>
        <v>9.5041863587435414E-3</v>
      </c>
      <c r="M123" s="27">
        <f t="shared" si="15"/>
        <v>416.20000661096611</v>
      </c>
      <c r="N123" s="28" t="str">
        <f t="shared" si="16"/>
        <v>A</v>
      </c>
      <c r="O123" s="13" t="str">
        <f t="shared" si="17"/>
        <v>100% dari pembagaian omset per divisi</v>
      </c>
      <c r="P123" s="62" t="s">
        <v>76</v>
      </c>
    </row>
    <row r="124" spans="2:16" x14ac:dyDescent="0.3">
      <c r="B124" s="23" t="s">
        <v>109</v>
      </c>
      <c r="C124" s="26">
        <f>F64*$C$61</f>
        <v>3.9154588450378593E-2</v>
      </c>
      <c r="D124" s="27">
        <f>I63*$C$62</f>
        <v>4.593357447362497E-2</v>
      </c>
      <c r="E124" s="27">
        <f>L64*$C$63</f>
        <v>8.9073412585895413E-3</v>
      </c>
      <c r="F124" s="27">
        <f>F75*$C$64</f>
        <v>8.8842166474018547E-3</v>
      </c>
      <c r="G124" s="27">
        <f>I71*$C$65</f>
        <v>3.172923210445338E-3</v>
      </c>
      <c r="H124" s="13">
        <f>F69*$C$66</f>
        <v>5.574434970665558E-3</v>
      </c>
      <c r="I124" s="13">
        <f>C75*$C$67</f>
        <v>4.9774825329696546E-3</v>
      </c>
      <c r="J124" s="13">
        <f>C83*$C$68</f>
        <v>1.3110496031902025E-2</v>
      </c>
      <c r="K124" s="27">
        <f>F80*$C$69</f>
        <v>1.2776137246668673E-2</v>
      </c>
      <c r="L124" s="13">
        <f>I77*$C$70</f>
        <v>3.8639416089038935E-3</v>
      </c>
      <c r="M124" s="27">
        <f t="shared" si="15"/>
        <v>146.35513643155011</v>
      </c>
      <c r="N124" s="28" t="str">
        <f t="shared" si="16"/>
        <v>D</v>
      </c>
      <c r="O124" s="13" t="str">
        <f t="shared" si="17"/>
        <v>25% dari pembagian omset per divisi</v>
      </c>
      <c r="P124" s="62" t="s">
        <v>74</v>
      </c>
    </row>
    <row r="125" spans="2:16" x14ac:dyDescent="0.3">
      <c r="B125" s="23" t="s">
        <v>110</v>
      </c>
      <c r="C125" s="26">
        <f>F63*$C$61</f>
        <v>8.4606124426273507E-2</v>
      </c>
      <c r="D125" s="27">
        <f>I62*$C$62</f>
        <v>9.1092143549782345E-2</v>
      </c>
      <c r="E125" s="27">
        <f>L63*$C$63</f>
        <v>2.2066816697534762E-2</v>
      </c>
      <c r="F125" s="27">
        <f>F74*$C$64</f>
        <v>1.8656416145625479E-2</v>
      </c>
      <c r="G125" s="27">
        <f>I69*$C$65</f>
        <v>1.268391704655656E-2</v>
      </c>
      <c r="H125" s="13">
        <f>F69*$C$66</f>
        <v>5.574434970665558E-3</v>
      </c>
      <c r="I125" s="13">
        <f>C75*$C$67</f>
        <v>4.9774825329696546E-3</v>
      </c>
      <c r="J125" s="13">
        <f>C83*$C$68</f>
        <v>1.3110496031902025E-2</v>
      </c>
      <c r="K125" s="27">
        <f>F79*$C$69</f>
        <v>5.0544540601510479E-2</v>
      </c>
      <c r="L125" s="13">
        <f>I76*$C$70</f>
        <v>9.5041863587435414E-3</v>
      </c>
      <c r="M125" s="27">
        <f t="shared" si="15"/>
        <v>312.81655836156398</v>
      </c>
      <c r="N125" s="28" t="str">
        <f t="shared" si="16"/>
        <v>B</v>
      </c>
      <c r="O125" s="13" t="str">
        <f t="shared" si="17"/>
        <v>75% dari pembagian omset per divisi</v>
      </c>
      <c r="P125" t="s">
        <v>76</v>
      </c>
    </row>
    <row r="126" spans="2:16" x14ac:dyDescent="0.3">
      <c r="B126" s="23" t="s">
        <v>111</v>
      </c>
      <c r="C126" s="26">
        <f>F63*$C$61</f>
        <v>8.4606124426273507E-2</v>
      </c>
      <c r="D126" s="27">
        <f>I63*$C$62</f>
        <v>4.593357447362497E-2</v>
      </c>
      <c r="E126" s="27">
        <f>L63*$C$63</f>
        <v>2.2066816697534762E-2</v>
      </c>
      <c r="F126" s="27">
        <f>F73*$C$64</f>
        <v>4.8742629612049275E-2</v>
      </c>
      <c r="G126" s="27">
        <f>I70*$C$65</f>
        <v>8.14664084320702E-3</v>
      </c>
      <c r="H126" s="13">
        <f>F69*$C$66</f>
        <v>5.574434970665558E-3</v>
      </c>
      <c r="I126" s="13">
        <f>C75*$C$67</f>
        <v>4.9774825329696546E-3</v>
      </c>
      <c r="J126" s="13">
        <f>C81*$C$68</f>
        <v>2.7391850425221503E-2</v>
      </c>
      <c r="K126" s="27">
        <f>F80*$C$69</f>
        <v>1.2776137246668673E-2</v>
      </c>
      <c r="L126" s="13">
        <f>I76*$C$70</f>
        <v>9.5041863587435414E-3</v>
      </c>
      <c r="M126" s="27">
        <f t="shared" si="15"/>
        <v>269.71987758695849</v>
      </c>
      <c r="N126" s="28" t="str">
        <f t="shared" si="16"/>
        <v>C</v>
      </c>
      <c r="O126" s="13" t="str">
        <f t="shared" si="17"/>
        <v>50% dari pembagian omset per divisi</v>
      </c>
      <c r="P126" s="62" t="s">
        <v>76</v>
      </c>
    </row>
    <row r="127" spans="2:16" x14ac:dyDescent="0.3">
      <c r="B127" s="23" t="s">
        <v>112</v>
      </c>
      <c r="C127" s="26">
        <f>F64*$C$61</f>
        <v>3.9154588450378593E-2</v>
      </c>
      <c r="D127" s="27">
        <f>I64*$C$62</f>
        <v>1.7565647254753517E-2</v>
      </c>
      <c r="E127" s="27">
        <f>L64*$C$63</f>
        <v>8.9073412585895413E-3</v>
      </c>
      <c r="F127" s="27">
        <f>F74*$C$64</f>
        <v>1.8656416145625479E-2</v>
      </c>
      <c r="G127" s="27">
        <f>I69*$C$65</f>
        <v>1.268391704655656E-2</v>
      </c>
      <c r="H127" s="13">
        <f>F69*$C$66</f>
        <v>5.574434970665558E-3</v>
      </c>
      <c r="I127" s="13">
        <f>C75*$C$67</f>
        <v>4.9774825329696546E-3</v>
      </c>
      <c r="J127" s="13">
        <f>C79*$C$68</f>
        <v>5.7579140064465996E-2</v>
      </c>
      <c r="K127" s="27">
        <f>F80*$C$69</f>
        <v>1.2776137246668673E-2</v>
      </c>
      <c r="L127" s="13">
        <f>I77*$C$70</f>
        <v>3.8639416089038935E-3</v>
      </c>
      <c r="M127" s="27">
        <f t="shared" si="15"/>
        <v>181.73904657957749</v>
      </c>
      <c r="N127" s="28" t="str">
        <f t="shared" si="16"/>
        <v>D</v>
      </c>
      <c r="O127" s="13" t="str">
        <f t="shared" si="17"/>
        <v>25% dari pembagian omset per divisi</v>
      </c>
      <c r="P127" s="62" t="s">
        <v>74</v>
      </c>
    </row>
    <row r="128" spans="2:16" x14ac:dyDescent="0.3">
      <c r="B128" s="23" t="s">
        <v>113</v>
      </c>
      <c r="C128" s="26">
        <f>F63*$C$61</f>
        <v>8.4606124426273507E-2</v>
      </c>
      <c r="D128" s="27">
        <f>I63*$C$62</f>
        <v>4.593357447362497E-2</v>
      </c>
      <c r="E128" s="27">
        <f>L63*$C$63</f>
        <v>2.2066816697534762E-2</v>
      </c>
      <c r="F128" s="27">
        <f>F76*$C$64</f>
        <v>4.190834523705324E-3</v>
      </c>
      <c r="G128" s="27">
        <f>I71*$C$65</f>
        <v>3.172923210445338E-3</v>
      </c>
      <c r="H128" s="13">
        <f>F69*$C$66</f>
        <v>5.574434970665558E-3</v>
      </c>
      <c r="I128" s="13">
        <f>C75*$C$67</f>
        <v>4.9774825329696546E-3</v>
      </c>
      <c r="J128" s="13">
        <f>C81*$C$68</f>
        <v>2.7391850425221503E-2</v>
      </c>
      <c r="K128" s="27">
        <f>F80*$C$69</f>
        <v>1.2776137246668673E-2</v>
      </c>
      <c r="L128" s="13">
        <f>I77*$C$70</f>
        <v>3.8639416089038935E-3</v>
      </c>
      <c r="M128" s="27">
        <f t="shared" si="15"/>
        <v>214.55412011601319</v>
      </c>
      <c r="N128" s="28" t="str">
        <f t="shared" si="16"/>
        <v>C</v>
      </c>
      <c r="O128" s="13" t="str">
        <f t="shared" si="17"/>
        <v>50% dari pembagian omset per divisi</v>
      </c>
      <c r="P128" t="s">
        <v>74</v>
      </c>
    </row>
    <row r="129" spans="2:16" x14ac:dyDescent="0.3">
      <c r="B129" s="23" t="s">
        <v>114</v>
      </c>
      <c r="C129" s="26">
        <f>F63*$C$61</f>
        <v>8.4606124426273507E-2</v>
      </c>
      <c r="D129" s="27">
        <f>I63*$C$62</f>
        <v>4.593357447362497E-2</v>
      </c>
      <c r="E129" s="27">
        <f>L64*$C$63</f>
        <v>8.9073412585895413E-3</v>
      </c>
      <c r="F129" s="27">
        <f>F74*$C$64</f>
        <v>1.8656416145625479E-2</v>
      </c>
      <c r="G129" s="27">
        <f>I71*$C$65</f>
        <v>3.172923210445338E-3</v>
      </c>
      <c r="H129" s="13">
        <f>F69*$C$66</f>
        <v>5.574434970665558E-3</v>
      </c>
      <c r="I129" s="13">
        <f>C75*$C$67</f>
        <v>4.9774825329696546E-3</v>
      </c>
      <c r="J129" s="13">
        <f>C81*$C$68</f>
        <v>2.7391850425221503E-2</v>
      </c>
      <c r="K129" s="27">
        <f>F80*$C$69</f>
        <v>1.2776137246668673E-2</v>
      </c>
      <c r="L129" s="13">
        <f>I76*$C$70</f>
        <v>9.5041863587435414E-3</v>
      </c>
      <c r="M129" s="27">
        <f t="shared" si="15"/>
        <v>221.50047104882776</v>
      </c>
      <c r="N129" s="28" t="str">
        <f t="shared" si="16"/>
        <v>C</v>
      </c>
      <c r="O129" s="13" t="str">
        <f t="shared" si="17"/>
        <v>50% dari pembagian omset per divisi</v>
      </c>
      <c r="P129" t="s">
        <v>74</v>
      </c>
    </row>
    <row r="130" spans="2:16" x14ac:dyDescent="0.3">
      <c r="B130" s="23" t="s">
        <v>115</v>
      </c>
      <c r="C130" s="26">
        <f>F63*$C$61</f>
        <v>8.4606124426273507E-2</v>
      </c>
      <c r="D130" s="27">
        <f>I63*$C$62</f>
        <v>4.593357447362497E-2</v>
      </c>
      <c r="E130" s="27">
        <f>L64*$C$63</f>
        <v>8.9073412585895413E-3</v>
      </c>
      <c r="F130" s="27">
        <f>F74*$C$64</f>
        <v>1.8656416145625479E-2</v>
      </c>
      <c r="G130" s="27">
        <f>I70*$C$65</f>
        <v>8.14664084320702E-3</v>
      </c>
      <c r="H130" s="13">
        <f>F69*$C$66</f>
        <v>5.574434970665558E-3</v>
      </c>
      <c r="I130" s="13">
        <f>C75*$C$67</f>
        <v>4.9774825329696546E-3</v>
      </c>
      <c r="J130" s="13">
        <f>C79*$C$68</f>
        <v>5.7579140064465996E-2</v>
      </c>
      <c r="K130" s="27">
        <f>F79*$C$69</f>
        <v>5.0544540601510479E-2</v>
      </c>
      <c r="L130" s="13">
        <f>I76*$C$70</f>
        <v>9.5041863587435414E-3</v>
      </c>
      <c r="M130" s="27">
        <f t="shared" si="15"/>
        <v>294.42988167567574</v>
      </c>
      <c r="N130" s="28" t="str">
        <f t="shared" si="16"/>
        <v>C</v>
      </c>
      <c r="O130" s="13" t="str">
        <f t="shared" si="17"/>
        <v>50% dari pembagian omset per divisi</v>
      </c>
      <c r="P130" s="62" t="s">
        <v>76</v>
      </c>
    </row>
    <row r="131" spans="2:16" x14ac:dyDescent="0.3">
      <c r="B131" s="23" t="s">
        <v>116</v>
      </c>
      <c r="C131" s="26">
        <f t="shared" ref="C131" si="18">F79*$C$61</f>
        <v>0.23676418366336446</v>
      </c>
      <c r="D131" s="27">
        <f>I63*$C$62</f>
        <v>4.593357447362497E-2</v>
      </c>
      <c r="E131" s="27">
        <f>L64*$C$63</f>
        <v>8.9073412585895413E-3</v>
      </c>
      <c r="F131" s="27">
        <f>F74*$C$64</f>
        <v>1.8656416145625479E-2</v>
      </c>
      <c r="G131" s="27">
        <f>I70*$C$65</f>
        <v>8.14664084320702E-3</v>
      </c>
      <c r="H131" s="13">
        <f>F69*$C$66</f>
        <v>5.574434970665558E-3</v>
      </c>
      <c r="I131" s="13">
        <f>C75*$C$67</f>
        <v>4.9774825329696546E-3</v>
      </c>
      <c r="J131" s="13">
        <f>C81*$C$68</f>
        <v>2.7391850425221503E-2</v>
      </c>
      <c r="K131" s="27">
        <f>F79*$C$69</f>
        <v>5.0544540601510479E-2</v>
      </c>
      <c r="L131" s="13">
        <f>I76*$C$70</f>
        <v>9.5041863587435414E-3</v>
      </c>
      <c r="M131" s="27">
        <f t="shared" si="15"/>
        <v>416.40065127352227</v>
      </c>
      <c r="N131" s="28" t="str">
        <f t="shared" si="16"/>
        <v>A</v>
      </c>
      <c r="O131" s="13" t="str">
        <f t="shared" si="17"/>
        <v>100% dari pembagaian omset per divisi</v>
      </c>
      <c r="P131" s="62" t="s">
        <v>76</v>
      </c>
    </row>
    <row r="132" spans="2:16" x14ac:dyDescent="0.3">
      <c r="B132" s="23" t="s">
        <v>117</v>
      </c>
      <c r="C132" s="26">
        <f>F64*$C$61</f>
        <v>3.9154588450378593E-2</v>
      </c>
      <c r="D132" s="27">
        <f>I64*$C$62</f>
        <v>1.7565647254753517E-2</v>
      </c>
      <c r="E132" s="27">
        <f>L63*$C$63</f>
        <v>2.2066816697534762E-2</v>
      </c>
      <c r="F132" s="27">
        <f>F74*$C$64</f>
        <v>1.8656416145625479E-2</v>
      </c>
      <c r="G132" s="13">
        <f>I70*$C$65</f>
        <v>8.14664084320702E-3</v>
      </c>
      <c r="H132" s="13">
        <f>F69*$C$66</f>
        <v>5.574434970665558E-3</v>
      </c>
      <c r="I132" s="13">
        <f>C75*$C$67</f>
        <v>4.9774825329696546E-3</v>
      </c>
      <c r="J132" s="13">
        <f>C79*$C$68</f>
        <v>5.7579140064465996E-2</v>
      </c>
      <c r="K132" s="27">
        <f>F80*$C$69</f>
        <v>1.2776137246668673E-2</v>
      </c>
      <c r="L132" s="13">
        <f>I77*$C$70</f>
        <v>3.8639416089038935E-3</v>
      </c>
      <c r="M132" s="27">
        <f t="shared" si="15"/>
        <v>190.36124581517313</v>
      </c>
      <c r="N132" s="28" t="str">
        <f t="shared" si="16"/>
        <v>D</v>
      </c>
      <c r="O132" s="13" t="str">
        <f t="shared" si="17"/>
        <v>25% dari pembagian omset per divisi</v>
      </c>
      <c r="P132" s="62" t="s">
        <v>74</v>
      </c>
    </row>
    <row r="135" spans="2:16" x14ac:dyDescent="0.3">
      <c r="M135" s="49" t="s">
        <v>70</v>
      </c>
      <c r="N135" s="49"/>
      <c r="O135" s="13" t="s">
        <v>71</v>
      </c>
    </row>
    <row r="136" spans="2:16" x14ac:dyDescent="0.3">
      <c r="M136" s="29" t="s">
        <v>118</v>
      </c>
      <c r="N136" s="30" t="s">
        <v>72</v>
      </c>
      <c r="O136" s="13" t="s">
        <v>73</v>
      </c>
    </row>
    <row r="137" spans="2:16" x14ac:dyDescent="0.3">
      <c r="M137" s="29" t="s">
        <v>119</v>
      </c>
      <c r="N137" s="30" t="s">
        <v>74</v>
      </c>
      <c r="O137" s="13" t="s">
        <v>75</v>
      </c>
    </row>
    <row r="138" spans="2:16" x14ac:dyDescent="0.3">
      <c r="M138" s="29" t="s">
        <v>120</v>
      </c>
      <c r="N138" s="30" t="s">
        <v>76</v>
      </c>
      <c r="O138" s="13" t="s">
        <v>77</v>
      </c>
    </row>
    <row r="139" spans="2:16" x14ac:dyDescent="0.3">
      <c r="M139" s="29" t="s">
        <v>121</v>
      </c>
      <c r="N139" s="30" t="s">
        <v>78</v>
      </c>
      <c r="O139" s="13" t="s">
        <v>79</v>
      </c>
    </row>
  </sheetData>
  <mergeCells count="8">
    <mergeCell ref="A2:R2"/>
    <mergeCell ref="B90:B91"/>
    <mergeCell ref="B113:B114"/>
    <mergeCell ref="M113:M114"/>
    <mergeCell ref="N113:N114"/>
    <mergeCell ref="O113:O114"/>
    <mergeCell ref="C90:C91"/>
    <mergeCell ref="D90:M90"/>
  </mergeCells>
  <pageMargins left="0.7" right="0.7" top="0.75" bottom="0.75" header="0.3" footer="0.3"/>
  <pageSetup paperSize="9" orientation="portrait" horizontalDpi="0" verticalDpi="0" r:id="rId1"/>
  <drawing r:id="rId2"/>
  <tableParts count="2">
    <tablePart r:id="rId3"/>
    <tablePart r:id="rId4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45"/>
  <sheetViews>
    <sheetView topLeftCell="A22" workbookViewId="0">
      <selection activeCell="B29" sqref="B29:B31"/>
    </sheetView>
  </sheetViews>
  <sheetFormatPr defaultRowHeight="14.4" x14ac:dyDescent="0.3"/>
  <cols>
    <col min="2" max="2" width="22.21875" customWidth="1"/>
    <col min="3" max="3" width="25.6640625" customWidth="1"/>
    <col min="4" max="4" width="19.44140625" customWidth="1"/>
    <col min="5" max="5" width="16.5546875" customWidth="1"/>
    <col min="6" max="6" width="18.6640625" customWidth="1"/>
    <col min="7" max="7" width="20.6640625" customWidth="1"/>
    <col min="8" max="8" width="20.21875" customWidth="1"/>
  </cols>
  <sheetData>
    <row r="4" spans="1:2" x14ac:dyDescent="0.3">
      <c r="A4" s="1" t="s">
        <v>91</v>
      </c>
      <c r="B4" s="1" t="s">
        <v>1</v>
      </c>
    </row>
    <row r="17" spans="1:8" x14ac:dyDescent="0.3">
      <c r="B17" s="1" t="s">
        <v>2</v>
      </c>
    </row>
    <row r="18" spans="1:8" x14ac:dyDescent="0.3">
      <c r="B18" s="2" t="s">
        <v>3</v>
      </c>
      <c r="C18" s="2" t="s">
        <v>49</v>
      </c>
      <c r="D18" s="2" t="s">
        <v>52</v>
      </c>
      <c r="E18" s="2" t="s">
        <v>55</v>
      </c>
      <c r="F18" s="2"/>
    </row>
    <row r="19" spans="1:8" x14ac:dyDescent="0.3">
      <c r="B19" s="2" t="s">
        <v>49</v>
      </c>
      <c r="C19" s="3">
        <v>1</v>
      </c>
      <c r="D19" s="3">
        <v>5</v>
      </c>
      <c r="E19" s="3">
        <v>8</v>
      </c>
      <c r="F19" s="3"/>
    </row>
    <row r="20" spans="1:8" x14ac:dyDescent="0.3">
      <c r="B20" s="2" t="s">
        <v>52</v>
      </c>
      <c r="C20" s="3">
        <f>1/5</f>
        <v>0.2</v>
      </c>
      <c r="D20" s="3">
        <v>1</v>
      </c>
      <c r="E20" s="3">
        <v>3</v>
      </c>
      <c r="F20" s="3"/>
    </row>
    <row r="21" spans="1:8" x14ac:dyDescent="0.3">
      <c r="B21" s="2" t="s">
        <v>55</v>
      </c>
      <c r="C21" s="3">
        <f>1/8</f>
        <v>0.125</v>
      </c>
      <c r="D21" s="3">
        <f>1/3</f>
        <v>0.33333333333333331</v>
      </c>
      <c r="E21" s="3">
        <v>1</v>
      </c>
      <c r="F21" s="3"/>
    </row>
    <row r="22" spans="1:8" x14ac:dyDescent="0.3">
      <c r="B22" s="5" t="s">
        <v>10</v>
      </c>
      <c r="C22" s="6">
        <f>SUM(C19:C21)</f>
        <v>1.325</v>
      </c>
      <c r="D22" s="6">
        <f>SUM(D19:D21)</f>
        <v>6.333333333333333</v>
      </c>
      <c r="E22" s="6">
        <f>SUM(E19:E21)</f>
        <v>12</v>
      </c>
      <c r="F22" s="3"/>
    </row>
    <row r="23" spans="1:8" x14ac:dyDescent="0.3">
      <c r="F23" s="3"/>
    </row>
    <row r="24" spans="1:8" x14ac:dyDescent="0.3">
      <c r="F24" s="3"/>
    </row>
    <row r="25" spans="1:8" x14ac:dyDescent="0.3">
      <c r="B25" s="5" t="s">
        <v>12</v>
      </c>
      <c r="C25" s="6"/>
      <c r="D25" s="6"/>
      <c r="E25" s="6"/>
      <c r="F25" s="3"/>
    </row>
    <row r="26" spans="1:8" x14ac:dyDescent="0.3">
      <c r="A26" s="1" t="s">
        <v>11</v>
      </c>
      <c r="B26" s="7"/>
      <c r="C26" s="6"/>
      <c r="D26" s="6"/>
      <c r="E26" s="6"/>
      <c r="F26" s="3"/>
    </row>
    <row r="27" spans="1:8" x14ac:dyDescent="0.3">
      <c r="B27" s="5" t="s">
        <v>13</v>
      </c>
      <c r="C27" s="3"/>
      <c r="D27" s="3"/>
      <c r="E27" s="3"/>
      <c r="F27" s="3"/>
    </row>
    <row r="28" spans="1:8" x14ac:dyDescent="0.3">
      <c r="B28" s="2" t="s">
        <v>3</v>
      </c>
      <c r="C28" s="31" t="s">
        <v>49</v>
      </c>
      <c r="D28" s="32" t="s">
        <v>52</v>
      </c>
      <c r="E28" s="31" t="s">
        <v>55</v>
      </c>
      <c r="F28" s="2" t="s">
        <v>14</v>
      </c>
      <c r="G28" s="2" t="s">
        <v>15</v>
      </c>
      <c r="H28" s="39" t="s">
        <v>16</v>
      </c>
    </row>
    <row r="29" spans="1:8" x14ac:dyDescent="0.3">
      <c r="B29" s="31" t="s">
        <v>49</v>
      </c>
      <c r="C29" s="34">
        <f>C19/$C$22</f>
        <v>0.75471698113207553</v>
      </c>
      <c r="D29" s="34">
        <f>D19/$D$22</f>
        <v>0.78947368421052633</v>
      </c>
      <c r="E29" s="34">
        <f>E19/$E$22</f>
        <v>0.66666666666666663</v>
      </c>
      <c r="F29" s="3">
        <f>SUM(C29:E29)</f>
        <v>2.2108573320092684</v>
      </c>
      <c r="G29" s="3">
        <f>Table111416182224283[[#This Row],[JUMLAH]]/3</f>
        <v>0.73695244400308946</v>
      </c>
      <c r="H29" s="35">
        <f>[2]!Table111416182224[[#This Row],[PRIORITAS]]*C22</f>
        <v>0.96131100082712984</v>
      </c>
    </row>
    <row r="30" spans="1:8" x14ac:dyDescent="0.3">
      <c r="B30" s="32" t="s">
        <v>52</v>
      </c>
      <c r="C30" s="34">
        <f>C20/$C$22</f>
        <v>0.15094339622641512</v>
      </c>
      <c r="D30" s="34">
        <f>D20/$D$22</f>
        <v>0.15789473684210528</v>
      </c>
      <c r="E30" s="34">
        <f>E20/$E$22</f>
        <v>0.25</v>
      </c>
      <c r="F30" s="3">
        <f>SUM(C30:E30)</f>
        <v>0.55883813306852037</v>
      </c>
      <c r="G30" s="3">
        <f>Table111416182224283[[#This Row],[JUMLAH]]/3</f>
        <v>0.18627937768950678</v>
      </c>
      <c r="H30" s="37">
        <f>[2]!Table111416182224[[#This Row],[PRIORITAS]]*D22</f>
        <v>1.3087327226097769</v>
      </c>
    </row>
    <row r="31" spans="1:8" x14ac:dyDescent="0.3">
      <c r="B31" s="31" t="s">
        <v>55</v>
      </c>
      <c r="C31" s="34">
        <f>C21/$C$22</f>
        <v>9.4339622641509441E-2</v>
      </c>
      <c r="D31" s="34">
        <f>D21/$D$22</f>
        <v>5.2631578947368418E-2</v>
      </c>
      <c r="E31" s="34">
        <f>E21/$E$22</f>
        <v>8.3333333333333329E-2</v>
      </c>
      <c r="F31" s="3">
        <f t="shared" ref="F31" si="0">SUM(C31:E31)</f>
        <v>0.2303045349222112</v>
      </c>
      <c r="G31" s="3">
        <f>Table111416182224283[[#This Row],[JUMLAH]]/3</f>
        <v>7.6768178307403734E-2</v>
      </c>
      <c r="H31" s="35">
        <f>[2]!Table111416182224[[#This Row],[PRIORITAS]]*E22</f>
        <v>0.8140830563228616</v>
      </c>
    </row>
    <row r="32" spans="1:8" x14ac:dyDescent="0.3">
      <c r="B32" s="2"/>
      <c r="C32" s="3"/>
      <c r="D32" s="3"/>
      <c r="E32" s="3"/>
      <c r="F32" s="3">
        <f>SUM(F29:F31)</f>
        <v>3</v>
      </c>
      <c r="G32" s="3">
        <f>SUM(G29:G31)</f>
        <v>1</v>
      </c>
      <c r="H32" s="35">
        <f>SUM(H29:H31)</f>
        <v>3.0841267797597682</v>
      </c>
    </row>
    <row r="33" spans="2:7" x14ac:dyDescent="0.3">
      <c r="E33" s="3"/>
      <c r="F33" s="3"/>
    </row>
    <row r="34" spans="2:7" x14ac:dyDescent="0.3">
      <c r="B34" s="40" t="s">
        <v>17</v>
      </c>
      <c r="C34" s="13">
        <f>(H32-3)/(3-1)</f>
        <v>4.2063389879884117E-2</v>
      </c>
      <c r="E34" s="3"/>
      <c r="F34" s="3"/>
      <c r="G34" s="3"/>
    </row>
    <row r="35" spans="2:7" x14ac:dyDescent="0.3">
      <c r="B35" s="40" t="s">
        <v>18</v>
      </c>
      <c r="C35" s="13">
        <v>0.9</v>
      </c>
      <c r="E35" s="3"/>
      <c r="G35" s="3"/>
    </row>
    <row r="36" spans="2:7" ht="20.399999999999999" thickBot="1" x14ac:dyDescent="0.45">
      <c r="B36" s="41" t="s">
        <v>19</v>
      </c>
      <c r="C36" s="42">
        <f>C34/C35</f>
        <v>4.6737099866537908E-2</v>
      </c>
      <c r="D36" s="11" t="str">
        <f>IF(C36&lt;=0.1, "KONSISTEN", "TIDAK KONSISTEN")</f>
        <v>KONSISTEN</v>
      </c>
      <c r="E36" s="3"/>
      <c r="G36" s="3"/>
    </row>
    <row r="37" spans="2:7" ht="15" thickTop="1" x14ac:dyDescent="0.3">
      <c r="E37" s="3"/>
      <c r="G37" s="3"/>
    </row>
    <row r="38" spans="2:7" x14ac:dyDescent="0.3">
      <c r="E38" s="3"/>
      <c r="G38" s="3"/>
    </row>
    <row r="40" spans="2:7" x14ac:dyDescent="0.3">
      <c r="G40" s="3"/>
    </row>
    <row r="41" spans="2:7" x14ac:dyDescent="0.3">
      <c r="G41" s="3"/>
    </row>
    <row r="42" spans="2:7" x14ac:dyDescent="0.3">
      <c r="G42" s="3"/>
    </row>
    <row r="43" spans="2:7" x14ac:dyDescent="0.3">
      <c r="G43" s="3"/>
    </row>
    <row r="44" spans="2:7" x14ac:dyDescent="0.3">
      <c r="G44" s="3"/>
    </row>
    <row r="45" spans="2:7" x14ac:dyDescent="0.3">
      <c r="G45" s="3"/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I46"/>
  <sheetViews>
    <sheetView workbookViewId="0">
      <selection activeCell="B21" sqref="B21"/>
    </sheetView>
  </sheetViews>
  <sheetFormatPr defaultRowHeight="14.4" x14ac:dyDescent="0.3"/>
  <cols>
    <col min="2" max="2" width="24.5546875" customWidth="1"/>
    <col min="3" max="3" width="22.109375" customWidth="1"/>
    <col min="4" max="4" width="21.6640625" customWidth="1"/>
    <col min="5" max="5" width="17.77734375" customWidth="1"/>
    <col min="6" max="6" width="18.77734375" customWidth="1"/>
    <col min="7" max="7" width="16.44140625" customWidth="1"/>
    <col min="8" max="8" width="14.6640625" customWidth="1"/>
    <col min="9" max="9" width="17.33203125" customWidth="1"/>
  </cols>
  <sheetData>
    <row r="4" spans="1:2" x14ac:dyDescent="0.3">
      <c r="A4" s="1" t="s">
        <v>91</v>
      </c>
      <c r="B4" s="1" t="s">
        <v>1</v>
      </c>
    </row>
    <row r="17" spans="1:9" x14ac:dyDescent="0.3">
      <c r="B17" s="1" t="s">
        <v>2</v>
      </c>
    </row>
    <row r="18" spans="1:9" x14ac:dyDescent="0.3">
      <c r="B18" s="2" t="s">
        <v>3</v>
      </c>
      <c r="C18" s="2" t="s">
        <v>50</v>
      </c>
      <c r="D18" s="2" t="s">
        <v>53</v>
      </c>
      <c r="E18" s="2" t="s">
        <v>56</v>
      </c>
      <c r="F18" s="2" t="s">
        <v>31</v>
      </c>
      <c r="G18" s="2"/>
    </row>
    <row r="19" spans="1:9" x14ac:dyDescent="0.3">
      <c r="B19" s="2" t="s">
        <v>50</v>
      </c>
      <c r="C19" s="3">
        <v>1</v>
      </c>
      <c r="D19" s="3">
        <v>3</v>
      </c>
      <c r="E19" s="3">
        <v>5</v>
      </c>
      <c r="F19" s="3">
        <v>8</v>
      </c>
      <c r="G19" s="3"/>
    </row>
    <row r="20" spans="1:9" x14ac:dyDescent="0.3">
      <c r="B20" s="2" t="s">
        <v>53</v>
      </c>
      <c r="C20" s="3">
        <f>1/3</f>
        <v>0.33333333333333331</v>
      </c>
      <c r="D20" s="3">
        <v>1</v>
      </c>
      <c r="E20" s="3">
        <v>4</v>
      </c>
      <c r="F20" s="3">
        <v>5</v>
      </c>
      <c r="G20" s="3"/>
    </row>
    <row r="21" spans="1:9" x14ac:dyDescent="0.3">
      <c r="B21" s="2" t="s">
        <v>56</v>
      </c>
      <c r="C21" s="3">
        <f>1/5</f>
        <v>0.2</v>
      </c>
      <c r="D21" s="3">
        <f>1/4</f>
        <v>0.25</v>
      </c>
      <c r="E21" s="3">
        <v>1</v>
      </c>
      <c r="F21" s="3">
        <v>3</v>
      </c>
      <c r="G21" s="3"/>
    </row>
    <row r="22" spans="1:9" x14ac:dyDescent="0.3">
      <c r="B22" s="2" t="s">
        <v>31</v>
      </c>
      <c r="C22" s="3">
        <f>1/8</f>
        <v>0.125</v>
      </c>
      <c r="D22" s="3">
        <f>1/5</f>
        <v>0.2</v>
      </c>
      <c r="E22" s="3">
        <f>1/3</f>
        <v>0.33333333333333331</v>
      </c>
      <c r="F22" s="3">
        <v>1</v>
      </c>
      <c r="G22" s="3"/>
    </row>
    <row r="23" spans="1:9" x14ac:dyDescent="0.3">
      <c r="B23" s="5" t="s">
        <v>10</v>
      </c>
      <c r="C23" s="6">
        <f>SUM(C19:C22)</f>
        <v>1.6583333333333332</v>
      </c>
      <c r="D23" s="6">
        <f>SUM(D19:D22)</f>
        <v>4.45</v>
      </c>
      <c r="E23" s="6">
        <f>SUM(E19:E22)</f>
        <v>10.333333333333334</v>
      </c>
      <c r="F23" s="6">
        <f>SUM(F19:F22)</f>
        <v>17</v>
      </c>
      <c r="G23" s="3"/>
    </row>
    <row r="24" spans="1:9" x14ac:dyDescent="0.3">
      <c r="G24" s="3"/>
    </row>
    <row r="25" spans="1:9" x14ac:dyDescent="0.3">
      <c r="G25" s="3"/>
    </row>
    <row r="26" spans="1:9" x14ac:dyDescent="0.3">
      <c r="A26" s="1" t="s">
        <v>11</v>
      </c>
      <c r="B26" s="5" t="s">
        <v>12</v>
      </c>
      <c r="C26" s="6"/>
      <c r="D26" s="6"/>
      <c r="E26" s="6"/>
      <c r="F26" s="6"/>
      <c r="G26" s="3"/>
    </row>
    <row r="27" spans="1:9" x14ac:dyDescent="0.3">
      <c r="B27" s="7"/>
      <c r="C27" s="6"/>
      <c r="D27" s="6"/>
      <c r="E27" s="6"/>
      <c r="F27" s="6"/>
      <c r="G27" s="3"/>
    </row>
    <row r="28" spans="1:9" x14ac:dyDescent="0.3">
      <c r="B28" s="5" t="s">
        <v>13</v>
      </c>
      <c r="C28" s="3"/>
      <c r="D28" s="3"/>
      <c r="E28" s="3"/>
      <c r="F28" s="3"/>
      <c r="G28" s="3"/>
    </row>
    <row r="29" spans="1:9" x14ac:dyDescent="0.3">
      <c r="B29" s="2" t="s">
        <v>3</v>
      </c>
      <c r="C29" s="31" t="s">
        <v>50</v>
      </c>
      <c r="D29" s="32" t="s">
        <v>53</v>
      </c>
      <c r="E29" s="31" t="s">
        <v>56</v>
      </c>
      <c r="F29" s="32" t="s">
        <v>31</v>
      </c>
      <c r="G29" s="2" t="s">
        <v>14</v>
      </c>
      <c r="H29" s="2" t="s">
        <v>15</v>
      </c>
      <c r="I29" s="39" t="s">
        <v>16</v>
      </c>
    </row>
    <row r="30" spans="1:9" x14ac:dyDescent="0.3">
      <c r="B30" s="31" t="s">
        <v>50</v>
      </c>
      <c r="C30" s="34">
        <f>C19/$C$23</f>
        <v>0.60301507537688448</v>
      </c>
      <c r="D30" s="34">
        <f>D19/$D$23</f>
        <v>0.6741573033707865</v>
      </c>
      <c r="E30" s="34">
        <f>E19/$E$23</f>
        <v>0.48387096774193544</v>
      </c>
      <c r="F30" s="34">
        <f>F19/$F$23</f>
        <v>0.47058823529411764</v>
      </c>
      <c r="G30" s="3">
        <f>SUM(C30:F30)</f>
        <v>2.231631581783724</v>
      </c>
      <c r="H30" s="3">
        <f>Table1114161820[[#This Row],[JUMLAH]]/4</f>
        <v>0.557907895445931</v>
      </c>
      <c r="I30" s="35">
        <f>Table1114161820[[#This Row],[PRIORITAS]]*C23</f>
        <v>0.92519725994783553</v>
      </c>
    </row>
    <row r="31" spans="1:9" x14ac:dyDescent="0.3">
      <c r="B31" s="32" t="s">
        <v>53</v>
      </c>
      <c r="C31" s="34">
        <f>C20/$C$23</f>
        <v>0.20100502512562815</v>
      </c>
      <c r="D31" s="34">
        <f>D20/$D$23</f>
        <v>0.2247191011235955</v>
      </c>
      <c r="E31" s="34">
        <f t="shared" ref="E31:E32" si="0">E20/$E$23</f>
        <v>0.38709677419354838</v>
      </c>
      <c r="F31" s="34">
        <f>F20/$F$23</f>
        <v>0.29411764705882354</v>
      </c>
      <c r="G31" s="3">
        <f>SUM(C31:F31)</f>
        <v>1.1069385475015956</v>
      </c>
      <c r="H31" s="3">
        <f>Table1114161820[[#This Row],[JUMLAH]]/4</f>
        <v>0.2767346368753989</v>
      </c>
      <c r="I31" s="37">
        <f>Table1114161820[[#This Row],[PRIORITAS]]*D23</f>
        <v>1.2314691340955251</v>
      </c>
    </row>
    <row r="32" spans="1:9" x14ac:dyDescent="0.3">
      <c r="B32" s="31" t="s">
        <v>56</v>
      </c>
      <c r="C32" s="34">
        <f>C21/$C$23</f>
        <v>0.12060301507537689</v>
      </c>
      <c r="D32" s="34">
        <f t="shared" ref="D32:D33" si="1">D21/$D$23</f>
        <v>5.6179775280898875E-2</v>
      </c>
      <c r="E32" s="34">
        <f t="shared" si="0"/>
        <v>9.6774193548387094E-2</v>
      </c>
      <c r="F32" s="34">
        <f>F21/$F$23</f>
        <v>0.17647058823529413</v>
      </c>
      <c r="G32" s="3">
        <f>SUM(C32:F32)</f>
        <v>0.45002757213995703</v>
      </c>
      <c r="H32" s="3">
        <f>Table1114161820[[#This Row],[JUMLAH]]/4</f>
        <v>0.11250689303498926</v>
      </c>
      <c r="I32" s="35">
        <f>Table1114161820[[#This Row],[PRIORITAS]]*E23</f>
        <v>1.1625712280282223</v>
      </c>
    </row>
    <row r="33" spans="2:9" x14ac:dyDescent="0.3">
      <c r="B33" s="32" t="s">
        <v>31</v>
      </c>
      <c r="C33" s="34">
        <f>C22/$C$23</f>
        <v>7.537688442211056E-2</v>
      </c>
      <c r="D33" s="34">
        <f t="shared" si="1"/>
        <v>4.49438202247191E-2</v>
      </c>
      <c r="E33" s="34">
        <f>E22/$E$23</f>
        <v>3.2258064516129031E-2</v>
      </c>
      <c r="F33" s="34">
        <f>F22/$F$23</f>
        <v>5.8823529411764705E-2</v>
      </c>
      <c r="G33" s="3">
        <f>SUM(C33:F33)</f>
        <v>0.21140229857472342</v>
      </c>
      <c r="H33" s="3">
        <f>Table1114161820[[#This Row],[JUMLAH]]/4</f>
        <v>5.2850574643680856E-2</v>
      </c>
      <c r="I33" s="37">
        <f>Table1114161820[[#This Row],[PRIORITAS]]*F23</f>
        <v>0.89845976894257451</v>
      </c>
    </row>
    <row r="34" spans="2:9" x14ac:dyDescent="0.3">
      <c r="B34" s="2"/>
      <c r="C34" s="3"/>
      <c r="D34" s="3"/>
      <c r="E34" s="3"/>
      <c r="F34" s="3"/>
      <c r="G34" s="3">
        <f>SUM(G30:G33)</f>
        <v>4</v>
      </c>
      <c r="H34" s="3">
        <f>SUM(H30:H33)</f>
        <v>1</v>
      </c>
      <c r="I34" s="35">
        <f>SUM(I30:I33)</f>
        <v>4.2176973910141573</v>
      </c>
    </row>
    <row r="35" spans="2:9" x14ac:dyDescent="0.3">
      <c r="E35" s="3"/>
      <c r="F35" s="3"/>
      <c r="G35" s="3"/>
    </row>
    <row r="36" spans="2:9" x14ac:dyDescent="0.3">
      <c r="B36" s="40" t="s">
        <v>17</v>
      </c>
      <c r="C36" s="13">
        <f>(I34-4)/(4-1)</f>
        <v>7.2565797004719101E-2</v>
      </c>
      <c r="E36" s="3"/>
      <c r="F36" s="3"/>
      <c r="G36" s="3"/>
    </row>
    <row r="37" spans="2:9" x14ac:dyDescent="0.3">
      <c r="B37" s="40" t="s">
        <v>18</v>
      </c>
      <c r="C37" s="13">
        <v>0.9</v>
      </c>
      <c r="E37" s="3"/>
      <c r="F37" s="3"/>
      <c r="G37" s="3"/>
    </row>
    <row r="38" spans="2:9" ht="20.399999999999999" thickBot="1" x14ac:dyDescent="0.45">
      <c r="B38" s="41" t="s">
        <v>19</v>
      </c>
      <c r="C38" s="42">
        <f>C36/C37</f>
        <v>8.0628663338576781E-2</v>
      </c>
      <c r="D38" s="11" t="str">
        <f>IF(C38&lt;=0.1, "KONSISTEN", "TIDAK KONSISTEN")</f>
        <v>KONSISTEN</v>
      </c>
      <c r="E38" s="3"/>
      <c r="F38" s="3"/>
      <c r="G38" s="3"/>
    </row>
    <row r="39" spans="2:9" ht="15" thickTop="1" x14ac:dyDescent="0.3">
      <c r="E39" s="3"/>
      <c r="F39" s="3"/>
      <c r="G39" s="3"/>
    </row>
    <row r="40" spans="2:9" x14ac:dyDescent="0.3">
      <c r="E40" s="3"/>
      <c r="F40" s="3"/>
    </row>
    <row r="41" spans="2:9" x14ac:dyDescent="0.3">
      <c r="G41" s="3"/>
    </row>
    <row r="42" spans="2:9" x14ac:dyDescent="0.3">
      <c r="G42" s="3"/>
    </row>
    <row r="43" spans="2:9" x14ac:dyDescent="0.3">
      <c r="G43" s="3"/>
    </row>
    <row r="44" spans="2:9" x14ac:dyDescent="0.3">
      <c r="G44" s="3"/>
    </row>
    <row r="45" spans="2:9" x14ac:dyDescent="0.3">
      <c r="G45" s="3"/>
    </row>
    <row r="46" spans="2:9" x14ac:dyDescent="0.3">
      <c r="G46" s="3"/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I46"/>
  <sheetViews>
    <sheetView topLeftCell="A16" workbookViewId="0">
      <selection activeCell="B19" sqref="B19:B22"/>
    </sheetView>
  </sheetViews>
  <sheetFormatPr defaultRowHeight="14.4" x14ac:dyDescent="0.3"/>
  <cols>
    <col min="1" max="1" width="8.88671875" customWidth="1"/>
    <col min="2" max="2" width="25.21875" customWidth="1"/>
    <col min="3" max="3" width="19.6640625" customWidth="1"/>
    <col min="4" max="4" width="18.21875" customWidth="1"/>
    <col min="5" max="5" width="17.44140625" customWidth="1"/>
    <col min="6" max="6" width="21.5546875" customWidth="1"/>
    <col min="7" max="7" width="14.5546875" customWidth="1"/>
    <col min="8" max="8" width="14.6640625" customWidth="1"/>
    <col min="9" max="9" width="15.6640625" customWidth="1"/>
  </cols>
  <sheetData>
    <row r="4" spans="1:2" x14ac:dyDescent="0.3">
      <c r="A4" s="1" t="s">
        <v>97</v>
      </c>
      <c r="B4" s="1" t="s">
        <v>1</v>
      </c>
    </row>
    <row r="17" spans="1:9" x14ac:dyDescent="0.3">
      <c r="B17" s="1" t="s">
        <v>2</v>
      </c>
    </row>
    <row r="18" spans="1:9" x14ac:dyDescent="0.3">
      <c r="B18" s="2" t="s">
        <v>3</v>
      </c>
      <c r="C18" s="2" t="s">
        <v>25</v>
      </c>
      <c r="D18" s="2" t="s">
        <v>27</v>
      </c>
      <c r="E18" s="2" t="s">
        <v>29</v>
      </c>
      <c r="F18" s="2" t="s">
        <v>31</v>
      </c>
      <c r="G18" s="2"/>
    </row>
    <row r="19" spans="1:9" x14ac:dyDescent="0.3">
      <c r="B19" s="2" t="s">
        <v>25</v>
      </c>
      <c r="C19" s="3">
        <v>1</v>
      </c>
      <c r="D19" s="3">
        <v>3</v>
      </c>
      <c r="E19" s="3">
        <v>5</v>
      </c>
      <c r="F19" s="3">
        <v>7</v>
      </c>
      <c r="G19" s="3"/>
    </row>
    <row r="20" spans="1:9" x14ac:dyDescent="0.3">
      <c r="B20" s="2" t="s">
        <v>27</v>
      </c>
      <c r="C20" s="3">
        <f>1/3</f>
        <v>0.33333333333333331</v>
      </c>
      <c r="D20" s="3">
        <v>1</v>
      </c>
      <c r="E20" s="3">
        <v>3</v>
      </c>
      <c r="F20" s="3">
        <v>5</v>
      </c>
      <c r="G20" s="3"/>
    </row>
    <row r="21" spans="1:9" x14ac:dyDescent="0.3">
      <c r="B21" s="2" t="s">
        <v>29</v>
      </c>
      <c r="C21" s="3">
        <f>1/5</f>
        <v>0.2</v>
      </c>
      <c r="D21" s="3">
        <f>1/3</f>
        <v>0.33333333333333331</v>
      </c>
      <c r="E21" s="3">
        <v>1</v>
      </c>
      <c r="F21" s="3">
        <v>3</v>
      </c>
      <c r="G21" s="3"/>
    </row>
    <row r="22" spans="1:9" x14ac:dyDescent="0.3">
      <c r="B22" s="2" t="s">
        <v>31</v>
      </c>
      <c r="C22" s="3">
        <f>1/7</f>
        <v>0.14285714285714285</v>
      </c>
      <c r="D22" s="3">
        <f>1/5</f>
        <v>0.2</v>
      </c>
      <c r="E22" s="3">
        <f>1/3</f>
        <v>0.33333333333333331</v>
      </c>
      <c r="F22" s="3">
        <v>1</v>
      </c>
      <c r="G22" s="3"/>
    </row>
    <row r="23" spans="1:9" x14ac:dyDescent="0.3">
      <c r="B23" s="5" t="s">
        <v>10</v>
      </c>
      <c r="C23" s="6">
        <f>SUM(C19:C22)</f>
        <v>1.676190476190476</v>
      </c>
      <c r="D23" s="6">
        <f>SUM(D19:D22)</f>
        <v>4.5333333333333332</v>
      </c>
      <c r="E23" s="6">
        <f>SUM(E19:E22)</f>
        <v>9.3333333333333339</v>
      </c>
      <c r="F23" s="6">
        <f>SUM(F19:F22)</f>
        <v>16</v>
      </c>
      <c r="G23" s="3"/>
    </row>
    <row r="24" spans="1:9" x14ac:dyDescent="0.3">
      <c r="G24" s="3"/>
    </row>
    <row r="25" spans="1:9" x14ac:dyDescent="0.3">
      <c r="G25" s="3"/>
    </row>
    <row r="26" spans="1:9" x14ac:dyDescent="0.3">
      <c r="A26" s="1" t="s">
        <v>11</v>
      </c>
      <c r="B26" s="5" t="s">
        <v>12</v>
      </c>
      <c r="C26" s="6"/>
      <c r="D26" s="6"/>
      <c r="E26" s="6"/>
      <c r="F26" s="6"/>
      <c r="G26" s="3"/>
    </row>
    <row r="27" spans="1:9" x14ac:dyDescent="0.3">
      <c r="B27" s="7"/>
      <c r="C27" s="6"/>
      <c r="D27" s="6"/>
      <c r="E27" s="6"/>
      <c r="F27" s="6"/>
      <c r="G27" s="3"/>
    </row>
    <row r="28" spans="1:9" x14ac:dyDescent="0.3">
      <c r="B28" s="5" t="s">
        <v>13</v>
      </c>
      <c r="C28" s="3"/>
      <c r="D28" s="3"/>
      <c r="E28" s="3"/>
      <c r="F28" s="3"/>
      <c r="G28" s="3"/>
    </row>
    <row r="29" spans="1:9" x14ac:dyDescent="0.3">
      <c r="B29" s="2" t="s">
        <v>3</v>
      </c>
      <c r="C29" s="31" t="s">
        <v>25</v>
      </c>
      <c r="D29" s="32" t="s">
        <v>27</v>
      </c>
      <c r="E29" s="31" t="s">
        <v>29</v>
      </c>
      <c r="F29" s="32" t="s">
        <v>31</v>
      </c>
      <c r="G29" s="2" t="s">
        <v>14</v>
      </c>
      <c r="H29" s="2" t="s">
        <v>15</v>
      </c>
      <c r="I29" s="39" t="s">
        <v>16</v>
      </c>
    </row>
    <row r="30" spans="1:9" x14ac:dyDescent="0.3">
      <c r="B30" s="31" t="s">
        <v>25</v>
      </c>
      <c r="C30" s="34">
        <f>C19/$C$23</f>
        <v>0.59659090909090917</v>
      </c>
      <c r="D30" s="34">
        <f>D19/$D$23</f>
        <v>0.66176470588235292</v>
      </c>
      <c r="E30" s="34">
        <f>E19/$E$23</f>
        <v>0.5357142857142857</v>
      </c>
      <c r="F30" s="34">
        <f>F19/$F$23</f>
        <v>0.4375</v>
      </c>
      <c r="G30" s="3">
        <f>SUM(C30:F30)</f>
        <v>2.2315699006875476</v>
      </c>
      <c r="H30" s="3">
        <f>Table1114[[#This Row],[JUMLAH]]/4</f>
        <v>0.55789247517188689</v>
      </c>
      <c r="I30" s="35">
        <f>Table1114[[#This Row],[PRIORITAS]]*C23</f>
        <v>0.93513405362144841</v>
      </c>
    </row>
    <row r="31" spans="1:9" x14ac:dyDescent="0.3">
      <c r="B31" s="32" t="s">
        <v>27</v>
      </c>
      <c r="C31" s="34">
        <f>C20/$C$23</f>
        <v>0.19886363636363638</v>
      </c>
      <c r="D31" s="34">
        <f>D20/$D$23</f>
        <v>0.22058823529411764</v>
      </c>
      <c r="E31" s="34">
        <f t="shared" ref="E31:E32" si="0">E20/$E$23</f>
        <v>0.3214285714285714</v>
      </c>
      <c r="F31" s="34">
        <f>F20/$F$23</f>
        <v>0.3125</v>
      </c>
      <c r="G31" s="3">
        <f>SUM(C31:F31)</f>
        <v>1.0533804430863254</v>
      </c>
      <c r="H31" s="3">
        <f>Table1114[[#This Row],[JUMLAH]]/4</f>
        <v>0.26334511077158135</v>
      </c>
      <c r="I31" s="37">
        <f>Table1114[[#This Row],[PRIORITAS]]*D23</f>
        <v>1.1938311688311687</v>
      </c>
    </row>
    <row r="32" spans="1:9" x14ac:dyDescent="0.3">
      <c r="B32" s="31" t="s">
        <v>29</v>
      </c>
      <c r="C32" s="34">
        <f>C21/$C$23</f>
        <v>0.11931818181818184</v>
      </c>
      <c r="D32" s="34">
        <f t="shared" ref="D32:D33" si="1">D21/$D$23</f>
        <v>7.3529411764705885E-2</v>
      </c>
      <c r="E32" s="34">
        <f t="shared" si="0"/>
        <v>0.10714285714285714</v>
      </c>
      <c r="F32" s="34">
        <f>F21/$F$23</f>
        <v>0.1875</v>
      </c>
      <c r="G32" s="3">
        <f>SUM(C32:F32)</f>
        <v>0.48749045072574487</v>
      </c>
      <c r="H32" s="3">
        <f>Table1114[[#This Row],[JUMLAH]]/4</f>
        <v>0.12187261268143622</v>
      </c>
      <c r="I32" s="35">
        <f>Table1114[[#This Row],[PRIORITAS]]*E23</f>
        <v>1.1374777183600715</v>
      </c>
    </row>
    <row r="33" spans="2:9" x14ac:dyDescent="0.3">
      <c r="B33" s="32" t="s">
        <v>31</v>
      </c>
      <c r="C33" s="34">
        <f>C22/$C$23</f>
        <v>8.5227272727272735E-2</v>
      </c>
      <c r="D33" s="34">
        <f t="shared" si="1"/>
        <v>4.4117647058823532E-2</v>
      </c>
      <c r="E33" s="34">
        <f>E22/$E$23</f>
        <v>3.5714285714285712E-2</v>
      </c>
      <c r="F33" s="34">
        <f>F22/$F$23</f>
        <v>6.25E-2</v>
      </c>
      <c r="G33" s="3">
        <f>SUM(C33:F33)</f>
        <v>0.227559205500382</v>
      </c>
      <c r="H33" s="3">
        <f>Table1114[[#This Row],[JUMLAH]]/4</f>
        <v>5.68898013750955E-2</v>
      </c>
      <c r="I33" s="37">
        <f>Table1114[[#This Row],[PRIORITAS]]*F23</f>
        <v>0.910236822001528</v>
      </c>
    </row>
    <row r="34" spans="2:9" x14ac:dyDescent="0.3">
      <c r="B34" s="2"/>
      <c r="C34" s="3"/>
      <c r="D34" s="3"/>
      <c r="E34" s="3"/>
      <c r="F34" s="3"/>
      <c r="G34" s="3">
        <f>SUM(G30:G33)</f>
        <v>3.9999999999999996</v>
      </c>
      <c r="H34" s="3">
        <f>SUM(H30:H33)</f>
        <v>0.99999999999999989</v>
      </c>
      <c r="I34" s="35">
        <f>SUM(I30:I33)</f>
        <v>4.1766797628142172</v>
      </c>
    </row>
    <row r="35" spans="2:9" x14ac:dyDescent="0.3">
      <c r="E35" s="3"/>
      <c r="F35" s="3"/>
      <c r="G35" s="3"/>
    </row>
    <row r="36" spans="2:9" x14ac:dyDescent="0.3">
      <c r="B36" s="40" t="s">
        <v>17</v>
      </c>
      <c r="C36" s="13">
        <f>(I34-4)/(4-1)</f>
        <v>5.8893254271405716E-2</v>
      </c>
      <c r="E36" s="3"/>
      <c r="F36" s="3"/>
      <c r="G36" s="3"/>
    </row>
    <row r="37" spans="2:9" x14ac:dyDescent="0.3">
      <c r="B37" s="40" t="s">
        <v>18</v>
      </c>
      <c r="C37" s="13">
        <v>0.9</v>
      </c>
      <c r="E37" s="3"/>
      <c r="F37" s="3"/>
      <c r="G37" s="3"/>
    </row>
    <row r="38" spans="2:9" ht="20.399999999999999" thickBot="1" x14ac:dyDescent="0.45">
      <c r="B38" s="41" t="s">
        <v>19</v>
      </c>
      <c r="C38" s="42">
        <f>C36/C37</f>
        <v>6.5436949190450788E-2</v>
      </c>
      <c r="D38" s="11" t="str">
        <f>IF(C38&lt;=0.1, "KONSISTEN", "TIDAK KONSISTEN")</f>
        <v>KONSISTEN</v>
      </c>
      <c r="E38" s="3"/>
      <c r="F38" s="3"/>
      <c r="G38" s="3"/>
    </row>
    <row r="39" spans="2:9" ht="15" thickTop="1" x14ac:dyDescent="0.3">
      <c r="E39" s="3"/>
      <c r="F39" s="3"/>
      <c r="G39" s="3"/>
    </row>
    <row r="40" spans="2:9" x14ac:dyDescent="0.3">
      <c r="E40" s="3"/>
      <c r="F40" s="3"/>
    </row>
    <row r="41" spans="2:9" x14ac:dyDescent="0.3">
      <c r="G41" s="3"/>
    </row>
    <row r="42" spans="2:9" x14ac:dyDescent="0.3">
      <c r="G42" s="3"/>
    </row>
    <row r="43" spans="2:9" x14ac:dyDescent="0.3">
      <c r="G43" s="3"/>
    </row>
    <row r="44" spans="2:9" x14ac:dyDescent="0.3">
      <c r="G44" s="3"/>
    </row>
    <row r="45" spans="2:9" x14ac:dyDescent="0.3">
      <c r="G45" s="3"/>
    </row>
    <row r="46" spans="2:9" x14ac:dyDescent="0.3">
      <c r="G46" s="3"/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J46"/>
  <sheetViews>
    <sheetView topLeftCell="A10" workbookViewId="0">
      <selection activeCell="B19" sqref="B19:B22"/>
    </sheetView>
  </sheetViews>
  <sheetFormatPr defaultRowHeight="14.4" x14ac:dyDescent="0.3"/>
  <cols>
    <col min="2" max="2" width="27.109375" customWidth="1"/>
    <col min="3" max="3" width="26.109375" customWidth="1"/>
    <col min="4" max="4" width="16.6640625" customWidth="1"/>
    <col min="5" max="5" width="16.5546875" customWidth="1"/>
    <col min="6" max="6" width="16.44140625" customWidth="1"/>
  </cols>
  <sheetData>
    <row r="4" spans="1:2" x14ac:dyDescent="0.3">
      <c r="A4" s="1" t="s">
        <v>0</v>
      </c>
      <c r="B4" s="1" t="s">
        <v>1</v>
      </c>
    </row>
    <row r="17" spans="1:9" x14ac:dyDescent="0.3">
      <c r="B17" s="1" t="s">
        <v>2</v>
      </c>
    </row>
    <row r="18" spans="1:9" x14ac:dyDescent="0.3">
      <c r="B18" s="2" t="s">
        <v>3</v>
      </c>
      <c r="C18" s="2" t="s">
        <v>24</v>
      </c>
      <c r="D18" s="2" t="s">
        <v>26</v>
      </c>
      <c r="E18" s="2" t="s">
        <v>28</v>
      </c>
      <c r="F18" s="2" t="s">
        <v>30</v>
      </c>
      <c r="G18" s="2"/>
      <c r="H18" s="2"/>
    </row>
    <row r="19" spans="1:9" x14ac:dyDescent="0.3">
      <c r="B19" s="2" t="s">
        <v>24</v>
      </c>
      <c r="C19" s="3">
        <v>1</v>
      </c>
      <c r="D19" s="3">
        <v>3</v>
      </c>
      <c r="E19" s="3">
        <v>5</v>
      </c>
      <c r="F19" s="3">
        <v>9</v>
      </c>
      <c r="G19" s="3"/>
      <c r="H19" s="3"/>
    </row>
    <row r="20" spans="1:9" x14ac:dyDescent="0.3">
      <c r="B20" s="2" t="s">
        <v>26</v>
      </c>
      <c r="C20" s="3">
        <f>1/3</f>
        <v>0.33333333333333331</v>
      </c>
      <c r="D20" s="3">
        <v>1</v>
      </c>
      <c r="E20" s="3">
        <v>4</v>
      </c>
      <c r="F20" s="3">
        <v>6</v>
      </c>
      <c r="G20" s="3"/>
      <c r="H20" s="3"/>
    </row>
    <row r="21" spans="1:9" x14ac:dyDescent="0.3">
      <c r="B21" s="2" t="s">
        <v>28</v>
      </c>
      <c r="C21" s="3">
        <f>1/5</f>
        <v>0.2</v>
      </c>
      <c r="D21" s="3">
        <f>1/4</f>
        <v>0.25</v>
      </c>
      <c r="E21" s="3">
        <v>1</v>
      </c>
      <c r="F21" s="3">
        <v>3</v>
      </c>
      <c r="G21" s="3"/>
      <c r="H21" s="3"/>
    </row>
    <row r="22" spans="1:9" x14ac:dyDescent="0.3">
      <c r="B22" s="2" t="s">
        <v>30</v>
      </c>
      <c r="C22" s="3">
        <f>1/9</f>
        <v>0.1111111111111111</v>
      </c>
      <c r="D22" s="3">
        <f>1/6</f>
        <v>0.16666666666666666</v>
      </c>
      <c r="E22" s="3">
        <f>1/3</f>
        <v>0.33333333333333331</v>
      </c>
      <c r="F22" s="3">
        <v>1</v>
      </c>
      <c r="G22" s="3"/>
      <c r="H22" s="3"/>
    </row>
    <row r="23" spans="1:9" x14ac:dyDescent="0.3">
      <c r="B23" s="5" t="s">
        <v>10</v>
      </c>
      <c r="C23" s="6">
        <f>SUM(C19:C22)</f>
        <v>1.6444444444444444</v>
      </c>
      <c r="D23" s="6">
        <f>SUM(D19:D22)</f>
        <v>4.416666666666667</v>
      </c>
      <c r="E23" s="6">
        <f>SUM(E19:E22)</f>
        <v>10.333333333333334</v>
      </c>
      <c r="F23" s="6">
        <f>SUM(F19:F22)</f>
        <v>19</v>
      </c>
      <c r="G23" s="3"/>
      <c r="H23" s="3"/>
    </row>
    <row r="24" spans="1:9" x14ac:dyDescent="0.3">
      <c r="G24" s="3"/>
      <c r="H24" s="3"/>
    </row>
    <row r="25" spans="1:9" x14ac:dyDescent="0.3">
      <c r="G25" s="3"/>
      <c r="H25" s="3"/>
    </row>
    <row r="26" spans="1:9" x14ac:dyDescent="0.3">
      <c r="A26" s="1" t="s">
        <v>11</v>
      </c>
      <c r="B26" s="5" t="s">
        <v>12</v>
      </c>
      <c r="C26" s="6"/>
      <c r="D26" s="6"/>
      <c r="E26" s="6"/>
      <c r="F26" s="6"/>
      <c r="G26" s="3"/>
      <c r="H26" s="3"/>
    </row>
    <row r="27" spans="1:9" x14ac:dyDescent="0.3">
      <c r="B27" s="7"/>
      <c r="C27" s="6"/>
      <c r="D27" s="6"/>
      <c r="E27" s="6"/>
      <c r="F27" s="6"/>
      <c r="G27" s="3"/>
      <c r="H27" s="3"/>
    </row>
    <row r="28" spans="1:9" x14ac:dyDescent="0.3">
      <c r="B28" s="5" t="s">
        <v>13</v>
      </c>
      <c r="C28" s="3"/>
      <c r="D28" s="3"/>
      <c r="E28" s="3"/>
      <c r="F28" s="3"/>
      <c r="G28" s="3"/>
      <c r="H28" s="3"/>
    </row>
    <row r="29" spans="1:9" x14ac:dyDescent="0.3">
      <c r="B29" s="2" t="s">
        <v>3</v>
      </c>
      <c r="C29" s="38" t="s">
        <v>24</v>
      </c>
      <c r="D29" s="38" t="s">
        <v>26</v>
      </c>
      <c r="E29" s="38" t="s">
        <v>28</v>
      </c>
      <c r="F29" s="39" t="s">
        <v>30</v>
      </c>
      <c r="G29" s="2" t="s">
        <v>14</v>
      </c>
      <c r="H29" s="2" t="s">
        <v>15</v>
      </c>
      <c r="I29" s="39" t="s">
        <v>16</v>
      </c>
    </row>
    <row r="30" spans="1:9" x14ac:dyDescent="0.3">
      <c r="B30" s="31" t="s">
        <v>24</v>
      </c>
      <c r="C30" s="34">
        <f>C19/$C$23</f>
        <v>0.60810810810810811</v>
      </c>
      <c r="D30" s="34">
        <f>D19/$D$23</f>
        <v>0.67924528301886788</v>
      </c>
      <c r="E30" s="34">
        <f>E19/$E$23</f>
        <v>0.48387096774193544</v>
      </c>
      <c r="F30" s="34">
        <f>F19/$F$23</f>
        <v>0.47368421052631576</v>
      </c>
      <c r="G30" s="3">
        <f>SUM(C30:F30)</f>
        <v>2.2449085693952275</v>
      </c>
      <c r="H30" s="3">
        <f>Table11[[#This Row],[JUMLAH]]/4</f>
        <v>0.56122714234880688</v>
      </c>
      <c r="I30" s="35">
        <f>Table11[[#This Row],[PRIORITAS]]*C23</f>
        <v>0.92290685630692681</v>
      </c>
    </row>
    <row r="31" spans="1:9" x14ac:dyDescent="0.3">
      <c r="B31" s="32" t="s">
        <v>26</v>
      </c>
      <c r="C31" s="34">
        <f>C20/$C$23</f>
        <v>0.20270270270270269</v>
      </c>
      <c r="D31" s="34">
        <f>D20/$D$23</f>
        <v>0.22641509433962262</v>
      </c>
      <c r="E31" s="34">
        <f t="shared" ref="E31:E32" si="0">E20/$E$23</f>
        <v>0.38709677419354838</v>
      </c>
      <c r="F31" s="34">
        <f t="shared" ref="F31:F33" si="1">F20/$F$23</f>
        <v>0.31578947368421051</v>
      </c>
      <c r="G31" s="3">
        <f>SUM(C31:F31)</f>
        <v>1.1320040449200843</v>
      </c>
      <c r="H31" s="3">
        <f>Table11[[#This Row],[JUMLAH]]/4</f>
        <v>0.28300101123002108</v>
      </c>
      <c r="I31" s="37">
        <f>Table11[[#This Row],[PRIORITAS]]*D23</f>
        <v>1.2499211329325932</v>
      </c>
    </row>
    <row r="32" spans="1:9" x14ac:dyDescent="0.3">
      <c r="B32" s="31" t="s">
        <v>28</v>
      </c>
      <c r="C32" s="34">
        <f>C21/$C$23</f>
        <v>0.12162162162162163</v>
      </c>
      <c r="D32" s="34">
        <f t="shared" ref="D32:D33" si="2">D21/$D$23</f>
        <v>5.6603773584905655E-2</v>
      </c>
      <c r="E32" s="34">
        <f t="shared" si="0"/>
        <v>9.6774193548387094E-2</v>
      </c>
      <c r="F32" s="34">
        <f t="shared" si="1"/>
        <v>0.15789473684210525</v>
      </c>
      <c r="G32" s="3">
        <f>SUM(C32:F32)</f>
        <v>0.43289432559701962</v>
      </c>
      <c r="H32" s="3">
        <f>Table11[[#This Row],[JUMLAH]]/4</f>
        <v>0.10822358139925491</v>
      </c>
      <c r="I32" s="35">
        <f>Table11[[#This Row],[PRIORITAS]]*E23</f>
        <v>1.1183103411256341</v>
      </c>
    </row>
    <row r="33" spans="2:10" x14ac:dyDescent="0.3">
      <c r="B33" s="32" t="s">
        <v>30</v>
      </c>
      <c r="C33" s="34">
        <f>C22/$C$23</f>
        <v>6.7567567567567571E-2</v>
      </c>
      <c r="D33" s="34">
        <f t="shared" si="2"/>
        <v>3.7735849056603772E-2</v>
      </c>
      <c r="E33" s="34">
        <f>E22/$E$23</f>
        <v>3.2258064516129031E-2</v>
      </c>
      <c r="F33" s="34">
        <f t="shared" si="1"/>
        <v>5.2631578947368418E-2</v>
      </c>
      <c r="G33" s="3">
        <f>SUM(C33:F33)</f>
        <v>0.19019306008766879</v>
      </c>
      <c r="H33" s="3">
        <f>Table11[[#This Row],[JUMLAH]]/4</f>
        <v>4.7548265021917197E-2</v>
      </c>
      <c r="I33" s="37">
        <f>Table11[[#This Row],[PRIORITAS]]*F23</f>
        <v>0.90341703541642671</v>
      </c>
    </row>
    <row r="34" spans="2:10" x14ac:dyDescent="0.3">
      <c r="B34" s="2"/>
      <c r="C34" s="3"/>
      <c r="D34" s="3"/>
      <c r="E34" s="3"/>
      <c r="F34" s="3"/>
      <c r="G34" s="3">
        <f>SUM(G30:G33)</f>
        <v>4</v>
      </c>
      <c r="H34" s="3">
        <f>SUM(H30:H33)</f>
        <v>1</v>
      </c>
      <c r="I34" s="35">
        <f>SUM(I30:I33)</f>
        <v>4.1945553657815804</v>
      </c>
    </row>
    <row r="35" spans="2:10" x14ac:dyDescent="0.3">
      <c r="E35" s="3"/>
      <c r="F35" s="3"/>
      <c r="G35" s="3"/>
      <c r="H35" s="3"/>
      <c r="I35" s="3"/>
      <c r="J35" s="2"/>
    </row>
    <row r="36" spans="2:10" x14ac:dyDescent="0.3">
      <c r="B36" s="40" t="s">
        <v>17</v>
      </c>
      <c r="C36" s="13">
        <f>(I34-4)/(4-1)</f>
        <v>6.4851788593860135E-2</v>
      </c>
      <c r="E36" s="3"/>
      <c r="F36" s="3"/>
      <c r="G36" s="3"/>
      <c r="H36" s="3"/>
      <c r="I36" s="3"/>
      <c r="J36" s="3"/>
    </row>
    <row r="37" spans="2:10" x14ac:dyDescent="0.3">
      <c r="B37" s="40" t="s">
        <v>18</v>
      </c>
      <c r="C37" s="13">
        <v>0.9</v>
      </c>
      <c r="E37" s="3"/>
      <c r="F37" s="3"/>
      <c r="G37" s="3"/>
      <c r="H37" s="3"/>
      <c r="I37" s="3"/>
      <c r="J37" s="3"/>
    </row>
    <row r="38" spans="2:10" ht="20.399999999999999" thickBot="1" x14ac:dyDescent="0.45">
      <c r="B38" s="41" t="s">
        <v>19</v>
      </c>
      <c r="C38" s="42">
        <f>C36/C37</f>
        <v>7.2057542882066811E-2</v>
      </c>
      <c r="D38" s="11" t="str">
        <f>IF(C38&lt;=0.1, "KONSISTEN", "TIDAK KONSISTEN")</f>
        <v>KONSISTEN</v>
      </c>
      <c r="E38" s="3"/>
      <c r="F38" s="3"/>
      <c r="G38" s="3"/>
      <c r="H38" s="3"/>
      <c r="I38" s="3"/>
      <c r="J38" s="3"/>
    </row>
    <row r="39" spans="2:10" ht="15" thickTop="1" x14ac:dyDescent="0.3">
      <c r="E39" s="3"/>
      <c r="F39" s="3"/>
      <c r="G39" s="3"/>
      <c r="H39" s="3"/>
      <c r="I39" s="3"/>
      <c r="J39" s="3"/>
    </row>
    <row r="40" spans="2:10" x14ac:dyDescent="0.3">
      <c r="E40" s="3"/>
      <c r="F40" s="3"/>
      <c r="I40" s="3"/>
      <c r="J40" s="3"/>
    </row>
    <row r="41" spans="2:10" x14ac:dyDescent="0.3">
      <c r="G41" s="3"/>
      <c r="H41" s="3"/>
      <c r="J41" s="3"/>
    </row>
    <row r="42" spans="2:10" x14ac:dyDescent="0.3">
      <c r="G42" s="3"/>
      <c r="H42" s="3"/>
      <c r="J42" s="3"/>
    </row>
    <row r="43" spans="2:10" x14ac:dyDescent="0.3">
      <c r="G43" s="3"/>
      <c r="H43" s="3"/>
      <c r="J43" s="3"/>
    </row>
    <row r="44" spans="2:10" x14ac:dyDescent="0.3">
      <c r="G44" s="3"/>
      <c r="H44" s="3"/>
      <c r="J44" s="3"/>
    </row>
    <row r="45" spans="2:10" x14ac:dyDescent="0.3">
      <c r="G45" s="3"/>
      <c r="H45" s="3"/>
      <c r="J45" s="3"/>
    </row>
    <row r="46" spans="2:10" x14ac:dyDescent="0.3">
      <c r="G46" s="3"/>
      <c r="H46" s="3"/>
      <c r="J46" s="3"/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I46"/>
  <sheetViews>
    <sheetView topLeftCell="A25" workbookViewId="0">
      <selection activeCell="B30" sqref="B30:B33"/>
    </sheetView>
  </sheetViews>
  <sheetFormatPr defaultRowHeight="14.4" x14ac:dyDescent="0.3"/>
  <cols>
    <col min="2" max="2" width="26.88671875" customWidth="1"/>
    <col min="3" max="3" width="25.109375" customWidth="1"/>
    <col min="4" max="4" width="22.88671875" customWidth="1"/>
    <col min="5" max="5" width="20.33203125" customWidth="1"/>
    <col min="6" max="6" width="21.44140625" customWidth="1"/>
    <col min="7" max="7" width="15.5546875" customWidth="1"/>
    <col min="8" max="8" width="14.77734375" customWidth="1"/>
    <col min="9" max="9" width="15.109375" customWidth="1"/>
  </cols>
  <sheetData>
    <row r="4" spans="1:2" x14ac:dyDescent="0.3">
      <c r="A4" s="1" t="s">
        <v>91</v>
      </c>
      <c r="B4" s="1" t="s">
        <v>1</v>
      </c>
    </row>
    <row r="17" spans="1:9" x14ac:dyDescent="0.3">
      <c r="B17" s="1" t="s">
        <v>2</v>
      </c>
    </row>
    <row r="18" spans="1:9" x14ac:dyDescent="0.3">
      <c r="B18" s="2" t="s">
        <v>3</v>
      </c>
      <c r="C18" s="2" t="s">
        <v>41</v>
      </c>
      <c r="D18" s="2" t="s">
        <v>99</v>
      </c>
      <c r="E18" s="2" t="s">
        <v>43</v>
      </c>
      <c r="F18" s="2" t="s">
        <v>31</v>
      </c>
      <c r="G18" s="2"/>
    </row>
    <row r="19" spans="1:9" x14ac:dyDescent="0.3">
      <c r="B19" s="2" t="s">
        <v>41</v>
      </c>
      <c r="C19" s="3">
        <v>1</v>
      </c>
      <c r="D19" s="3">
        <v>3</v>
      </c>
      <c r="E19" s="3">
        <v>5</v>
      </c>
      <c r="F19" s="3">
        <v>9</v>
      </c>
      <c r="G19" s="3"/>
    </row>
    <row r="20" spans="1:9" x14ac:dyDescent="0.3">
      <c r="B20" s="2" t="s">
        <v>99</v>
      </c>
      <c r="C20" s="3">
        <f>1/3</f>
        <v>0.33333333333333331</v>
      </c>
      <c r="D20" s="3">
        <v>1</v>
      </c>
      <c r="E20" s="3">
        <v>4</v>
      </c>
      <c r="F20" s="3">
        <v>5</v>
      </c>
      <c r="G20" s="3"/>
    </row>
    <row r="21" spans="1:9" x14ac:dyDescent="0.3">
      <c r="B21" s="2" t="s">
        <v>43</v>
      </c>
      <c r="C21" s="3">
        <f>1/5</f>
        <v>0.2</v>
      </c>
      <c r="D21" s="3">
        <f>1/4</f>
        <v>0.25</v>
      </c>
      <c r="E21" s="3">
        <v>1</v>
      </c>
      <c r="F21" s="3">
        <v>3</v>
      </c>
      <c r="G21" s="3"/>
    </row>
    <row r="22" spans="1:9" x14ac:dyDescent="0.3">
      <c r="B22" s="2" t="s">
        <v>31</v>
      </c>
      <c r="C22" s="3">
        <f>1/8</f>
        <v>0.125</v>
      </c>
      <c r="D22" s="3">
        <f>1/5</f>
        <v>0.2</v>
      </c>
      <c r="E22" s="3">
        <f>1/3</f>
        <v>0.33333333333333331</v>
      </c>
      <c r="F22" s="3">
        <v>1</v>
      </c>
      <c r="G22" s="3"/>
    </row>
    <row r="23" spans="1:9" x14ac:dyDescent="0.3">
      <c r="B23" s="5" t="s">
        <v>10</v>
      </c>
      <c r="C23" s="6">
        <f>SUM(C19:C22)</f>
        <v>1.6583333333333332</v>
      </c>
      <c r="D23" s="6">
        <f>SUM(D19:D22)</f>
        <v>4.45</v>
      </c>
      <c r="E23" s="6">
        <f>SUM(E19:E22)</f>
        <v>10.333333333333334</v>
      </c>
      <c r="F23" s="6">
        <f>SUM(F19:F22)</f>
        <v>18</v>
      </c>
      <c r="G23" s="3"/>
    </row>
    <row r="24" spans="1:9" x14ac:dyDescent="0.3">
      <c r="G24" s="3"/>
    </row>
    <row r="25" spans="1:9" x14ac:dyDescent="0.3">
      <c r="G25" s="3"/>
    </row>
    <row r="26" spans="1:9" x14ac:dyDescent="0.3">
      <c r="A26" s="1" t="s">
        <v>11</v>
      </c>
      <c r="B26" s="5" t="s">
        <v>12</v>
      </c>
      <c r="C26" s="6"/>
      <c r="D26" s="6"/>
      <c r="E26" s="6"/>
      <c r="F26" s="6"/>
      <c r="G26" s="3"/>
    </row>
    <row r="27" spans="1:9" x14ac:dyDescent="0.3">
      <c r="B27" s="7"/>
      <c r="C27" s="6"/>
      <c r="D27" s="6"/>
      <c r="E27" s="6"/>
      <c r="F27" s="6"/>
      <c r="G27" s="3"/>
    </row>
    <row r="28" spans="1:9" x14ac:dyDescent="0.3">
      <c r="B28" s="5" t="s">
        <v>13</v>
      </c>
      <c r="C28" s="3"/>
      <c r="D28" s="3"/>
      <c r="E28" s="3"/>
      <c r="F28" s="3"/>
      <c r="G28" s="3"/>
    </row>
    <row r="29" spans="1:9" x14ac:dyDescent="0.3">
      <c r="B29" s="2" t="s">
        <v>3</v>
      </c>
      <c r="C29" s="31" t="s">
        <v>41</v>
      </c>
      <c r="D29" s="32" t="s">
        <v>99</v>
      </c>
      <c r="E29" s="31" t="s">
        <v>43</v>
      </c>
      <c r="F29" s="32" t="s">
        <v>31</v>
      </c>
      <c r="G29" s="2" t="s">
        <v>14</v>
      </c>
      <c r="H29" s="2" t="s">
        <v>15</v>
      </c>
      <c r="I29" s="39" t="s">
        <v>16</v>
      </c>
    </row>
    <row r="30" spans="1:9" x14ac:dyDescent="0.3">
      <c r="B30" s="31" t="s">
        <v>41</v>
      </c>
      <c r="C30" s="34">
        <f>C19/$C$23</f>
        <v>0.60301507537688448</v>
      </c>
      <c r="D30" s="34">
        <f>D19/$D$23</f>
        <v>0.6741573033707865</v>
      </c>
      <c r="E30" s="34">
        <f>E19/$E$23</f>
        <v>0.48387096774193544</v>
      </c>
      <c r="F30" s="34">
        <f>F19/$F$23</f>
        <v>0.5</v>
      </c>
      <c r="G30" s="3">
        <f>SUM(C30:F30)</f>
        <v>2.2610433464896067</v>
      </c>
      <c r="H30" s="3">
        <f>Table111416182023[[#This Row],[JUMLAH]]/4</f>
        <v>0.56526083662240167</v>
      </c>
      <c r="I30" s="35">
        <f>Table111416182023[[#This Row],[PRIORITAS]]*C23</f>
        <v>0.93739088739881604</v>
      </c>
    </row>
    <row r="31" spans="1:9" x14ac:dyDescent="0.3">
      <c r="B31" s="32" t="s">
        <v>99</v>
      </c>
      <c r="C31" s="34">
        <f>C20/$C$23</f>
        <v>0.20100502512562815</v>
      </c>
      <c r="D31" s="34">
        <f>D20/$D$23</f>
        <v>0.2247191011235955</v>
      </c>
      <c r="E31" s="34">
        <f t="shared" ref="E31:E32" si="0">E20/$E$23</f>
        <v>0.38709677419354838</v>
      </c>
      <c r="F31" s="34">
        <f>F20/$F$23</f>
        <v>0.27777777777777779</v>
      </c>
      <c r="G31" s="3">
        <f>SUM(C31:F31)</f>
        <v>1.0905986782205499</v>
      </c>
      <c r="H31" s="3">
        <f>Table111416182023[[#This Row],[JUMLAH]]/4</f>
        <v>0.27264966955513747</v>
      </c>
      <c r="I31" s="37">
        <f>Table111416182023[[#This Row],[PRIORITAS]]*D23</f>
        <v>1.2132910295203618</v>
      </c>
    </row>
    <row r="32" spans="1:9" x14ac:dyDescent="0.3">
      <c r="B32" s="31" t="s">
        <v>43</v>
      </c>
      <c r="C32" s="34">
        <f>C21/$C$23</f>
        <v>0.12060301507537689</v>
      </c>
      <c r="D32" s="34">
        <f t="shared" ref="D32:D33" si="1">D21/$D$23</f>
        <v>5.6179775280898875E-2</v>
      </c>
      <c r="E32" s="34">
        <f t="shared" si="0"/>
        <v>9.6774193548387094E-2</v>
      </c>
      <c r="F32" s="34">
        <f>F21/$F$23</f>
        <v>0.16666666666666666</v>
      </c>
      <c r="G32" s="3">
        <f>SUM(C32:F32)</f>
        <v>0.44022365057132951</v>
      </c>
      <c r="H32" s="3">
        <f>Table111416182023[[#This Row],[JUMLAH]]/4</f>
        <v>0.11005591264283238</v>
      </c>
      <c r="I32" s="35">
        <f>Table111416182023[[#This Row],[PRIORITAS]]*E23</f>
        <v>1.1372444306426013</v>
      </c>
    </row>
    <row r="33" spans="2:9" x14ac:dyDescent="0.3">
      <c r="B33" s="32" t="s">
        <v>31</v>
      </c>
      <c r="C33" s="34">
        <f>C22/$C$23</f>
        <v>7.537688442211056E-2</v>
      </c>
      <c r="D33" s="34">
        <f t="shared" si="1"/>
        <v>4.49438202247191E-2</v>
      </c>
      <c r="E33" s="34">
        <f>E22/$E$23</f>
        <v>3.2258064516129031E-2</v>
      </c>
      <c r="F33" s="34">
        <f>F22/$F$23</f>
        <v>5.5555555555555552E-2</v>
      </c>
      <c r="G33" s="3">
        <f>SUM(C33:F33)</f>
        <v>0.20813432471851426</v>
      </c>
      <c r="H33" s="3">
        <f>Table111416182023[[#This Row],[JUMLAH]]/4</f>
        <v>5.2033581179628564E-2</v>
      </c>
      <c r="I33" s="37">
        <f>Table111416182023[[#This Row],[PRIORITAS]]*F23</f>
        <v>0.9366044612333142</v>
      </c>
    </row>
    <row r="34" spans="2:9" x14ac:dyDescent="0.3">
      <c r="B34" s="2"/>
      <c r="C34" s="3"/>
      <c r="D34" s="3"/>
      <c r="E34" s="3"/>
      <c r="F34" s="3"/>
      <c r="G34" s="3">
        <f>SUM(G30:G33)</f>
        <v>4.0000000000000009</v>
      </c>
      <c r="H34" s="3">
        <f>SUM(H30:H33)</f>
        <v>1.0000000000000002</v>
      </c>
      <c r="I34" s="35">
        <f>SUM(I30:I33)</f>
        <v>4.2245308087950928</v>
      </c>
    </row>
    <row r="35" spans="2:9" x14ac:dyDescent="0.3">
      <c r="E35" s="3"/>
      <c r="F35" s="3"/>
      <c r="G35" s="3"/>
    </row>
    <row r="36" spans="2:9" x14ac:dyDescent="0.3">
      <c r="B36" s="40" t="s">
        <v>17</v>
      </c>
      <c r="C36" s="13">
        <f>(I34-4)/(4-1)</f>
        <v>7.4843602931697603E-2</v>
      </c>
      <c r="E36" s="3"/>
      <c r="F36" s="3"/>
      <c r="G36" s="3"/>
    </row>
    <row r="37" spans="2:9" x14ac:dyDescent="0.3">
      <c r="B37" s="40" t="s">
        <v>18</v>
      </c>
      <c r="C37" s="13">
        <v>0.9</v>
      </c>
      <c r="E37" s="3"/>
      <c r="F37" s="3"/>
      <c r="G37" s="3"/>
    </row>
    <row r="38" spans="2:9" ht="20.399999999999999" thickBot="1" x14ac:dyDescent="0.45">
      <c r="B38" s="41" t="s">
        <v>19</v>
      </c>
      <c r="C38" s="42">
        <f>C36/C37</f>
        <v>8.3159558812997331E-2</v>
      </c>
      <c r="D38" s="11" t="str">
        <f>IF(C38&lt;=0.1, "KONSISTEN", "TIDAK KONSISTEN")</f>
        <v>KONSISTEN</v>
      </c>
      <c r="E38" s="3"/>
      <c r="F38" s="3"/>
      <c r="G38" s="3"/>
    </row>
    <row r="39" spans="2:9" ht="15" thickTop="1" x14ac:dyDescent="0.3">
      <c r="E39" s="3"/>
      <c r="F39" s="3"/>
      <c r="G39" s="3"/>
    </row>
    <row r="40" spans="2:9" x14ac:dyDescent="0.3">
      <c r="E40" s="3"/>
      <c r="F40" s="3"/>
    </row>
    <row r="41" spans="2:9" x14ac:dyDescent="0.3">
      <c r="G41" s="3"/>
    </row>
    <row r="42" spans="2:9" x14ac:dyDescent="0.3">
      <c r="G42" s="3"/>
    </row>
    <row r="43" spans="2:9" x14ac:dyDescent="0.3">
      <c r="G43" s="3"/>
    </row>
    <row r="44" spans="2:9" x14ac:dyDescent="0.3">
      <c r="G44" s="3"/>
    </row>
    <row r="45" spans="2:9" x14ac:dyDescent="0.3">
      <c r="G45" s="3"/>
    </row>
    <row r="46" spans="2:9" x14ac:dyDescent="0.3">
      <c r="G46" s="3"/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I46"/>
  <sheetViews>
    <sheetView topLeftCell="A7" workbookViewId="0">
      <selection activeCell="B19" sqref="B19:B22"/>
    </sheetView>
  </sheetViews>
  <sheetFormatPr defaultRowHeight="14.4" x14ac:dyDescent="0.3"/>
  <cols>
    <col min="2" max="2" width="20.77734375" customWidth="1"/>
    <col min="3" max="3" width="20.33203125" customWidth="1"/>
    <col min="4" max="4" width="28.88671875" customWidth="1"/>
    <col min="5" max="5" width="18" customWidth="1"/>
    <col min="6" max="6" width="19.88671875" customWidth="1"/>
    <col min="7" max="7" width="17.77734375" customWidth="1"/>
  </cols>
  <sheetData>
    <row r="4" spans="1:2" x14ac:dyDescent="0.3">
      <c r="A4" s="1" t="s">
        <v>91</v>
      </c>
      <c r="B4" s="1" t="s">
        <v>1</v>
      </c>
    </row>
    <row r="17" spans="1:9" x14ac:dyDescent="0.3">
      <c r="B17" s="1" t="s">
        <v>2</v>
      </c>
    </row>
    <row r="18" spans="1:9" x14ac:dyDescent="0.3">
      <c r="B18" s="2" t="s">
        <v>3</v>
      </c>
      <c r="C18" s="2" t="s">
        <v>41</v>
      </c>
      <c r="D18" s="2" t="s">
        <v>42</v>
      </c>
      <c r="E18" s="2" t="s">
        <v>43</v>
      </c>
      <c r="F18" s="2" t="s">
        <v>31</v>
      </c>
      <c r="G18" s="2"/>
    </row>
    <row r="19" spans="1:9" x14ac:dyDescent="0.3">
      <c r="B19" s="2" t="s">
        <v>41</v>
      </c>
      <c r="C19" s="3">
        <v>1</v>
      </c>
      <c r="D19" s="3">
        <v>4</v>
      </c>
      <c r="E19" s="3">
        <v>6</v>
      </c>
      <c r="F19" s="3">
        <v>8</v>
      </c>
      <c r="G19" s="3"/>
    </row>
    <row r="20" spans="1:9" x14ac:dyDescent="0.3">
      <c r="B20" s="2" t="s">
        <v>42</v>
      </c>
      <c r="C20" s="3">
        <f>1/4</f>
        <v>0.25</v>
      </c>
      <c r="D20" s="3">
        <v>1</v>
      </c>
      <c r="E20" s="3">
        <v>3</v>
      </c>
      <c r="F20" s="3">
        <v>5</v>
      </c>
      <c r="G20" s="3"/>
    </row>
    <row r="21" spans="1:9" x14ac:dyDescent="0.3">
      <c r="B21" s="2" t="s">
        <v>43</v>
      </c>
      <c r="C21" s="3">
        <f>1/6</f>
        <v>0.16666666666666666</v>
      </c>
      <c r="D21" s="3">
        <f>1/3</f>
        <v>0.33333333333333331</v>
      </c>
      <c r="E21" s="3">
        <v>1</v>
      </c>
      <c r="F21" s="3">
        <v>3</v>
      </c>
      <c r="G21" s="3"/>
    </row>
    <row r="22" spans="1:9" x14ac:dyDescent="0.3">
      <c r="B22" s="2" t="s">
        <v>31</v>
      </c>
      <c r="C22" s="3">
        <f>1/8</f>
        <v>0.125</v>
      </c>
      <c r="D22" s="3">
        <f>1/5</f>
        <v>0.2</v>
      </c>
      <c r="E22" s="3">
        <f>1/3</f>
        <v>0.33333333333333331</v>
      </c>
      <c r="F22" s="3">
        <v>1</v>
      </c>
      <c r="G22" s="3"/>
    </row>
    <row r="23" spans="1:9" x14ac:dyDescent="0.3">
      <c r="B23" s="5" t="s">
        <v>10</v>
      </c>
      <c r="C23" s="6">
        <f>SUM(C19:C22)</f>
        <v>1.5416666666666667</v>
      </c>
      <c r="D23" s="6">
        <f>SUM(D19:D22)</f>
        <v>5.5333333333333332</v>
      </c>
      <c r="E23" s="6">
        <f>SUM(E19:E22)</f>
        <v>10.333333333333334</v>
      </c>
      <c r="F23" s="6">
        <f>SUM(F19:F22)</f>
        <v>17</v>
      </c>
      <c r="G23" s="3"/>
    </row>
    <row r="24" spans="1:9" x14ac:dyDescent="0.3">
      <c r="G24" s="3"/>
    </row>
    <row r="25" spans="1:9" x14ac:dyDescent="0.3">
      <c r="G25" s="3"/>
    </row>
    <row r="26" spans="1:9" x14ac:dyDescent="0.3">
      <c r="A26" s="1" t="s">
        <v>11</v>
      </c>
      <c r="B26" s="5" t="s">
        <v>12</v>
      </c>
      <c r="C26" s="6"/>
      <c r="D26" s="6"/>
      <c r="E26" s="6"/>
      <c r="F26" s="6"/>
      <c r="G26" s="3"/>
    </row>
    <row r="27" spans="1:9" x14ac:dyDescent="0.3">
      <c r="B27" s="7"/>
      <c r="C27" s="6"/>
      <c r="D27" s="6"/>
      <c r="E27" s="6"/>
      <c r="F27" s="6"/>
      <c r="G27" s="3"/>
    </row>
    <row r="28" spans="1:9" x14ac:dyDescent="0.3">
      <c r="B28" s="5" t="s">
        <v>13</v>
      </c>
      <c r="C28" s="3"/>
      <c r="D28" s="3"/>
      <c r="E28" s="3"/>
      <c r="F28" s="3"/>
      <c r="G28" s="3"/>
    </row>
    <row r="29" spans="1:9" x14ac:dyDescent="0.3">
      <c r="B29" s="2" t="s">
        <v>3</v>
      </c>
      <c r="C29" s="31" t="s">
        <v>41</v>
      </c>
      <c r="D29" s="32" t="s">
        <v>42</v>
      </c>
      <c r="E29" s="31" t="s">
        <v>43</v>
      </c>
      <c r="F29" s="32" t="s">
        <v>31</v>
      </c>
      <c r="G29" s="2" t="s">
        <v>14</v>
      </c>
      <c r="H29" s="2" t="s">
        <v>15</v>
      </c>
      <c r="I29" s="39" t="s">
        <v>16</v>
      </c>
    </row>
    <row r="30" spans="1:9" x14ac:dyDescent="0.3">
      <c r="B30" s="31" t="s">
        <v>41</v>
      </c>
      <c r="C30" s="34">
        <f>C19/$C$23</f>
        <v>0.64864864864864857</v>
      </c>
      <c r="D30" s="34">
        <f>D19/$D$23</f>
        <v>0.72289156626506024</v>
      </c>
      <c r="E30" s="34">
        <f>E19/$E$23</f>
        <v>0.58064516129032251</v>
      </c>
      <c r="F30" s="34">
        <f>F19/$F$23</f>
        <v>0.47058823529411764</v>
      </c>
      <c r="G30" s="3">
        <f>SUM(C30:F30)</f>
        <v>2.4227736114981488</v>
      </c>
      <c r="H30" s="3">
        <f>Table11141618[[#This Row],[JUMLAH]]/4</f>
        <v>0.60569340287453721</v>
      </c>
      <c r="I30" s="35">
        <f>Table11141618[[#This Row],[PRIORITAS]]*C23</f>
        <v>0.93377732943157821</v>
      </c>
    </row>
    <row r="31" spans="1:9" x14ac:dyDescent="0.3">
      <c r="B31" s="32" t="s">
        <v>42</v>
      </c>
      <c r="C31" s="34">
        <f>C20/$C$23</f>
        <v>0.16216216216216214</v>
      </c>
      <c r="D31" s="34">
        <f>D20/$D$23</f>
        <v>0.18072289156626506</v>
      </c>
      <c r="E31" s="34">
        <f t="shared" ref="E31:E32" si="0">E20/$E$23</f>
        <v>0.29032258064516125</v>
      </c>
      <c r="F31" s="34">
        <f>F20/$F$23</f>
        <v>0.29411764705882354</v>
      </c>
      <c r="G31" s="3">
        <f>SUM(C31:F31)</f>
        <v>0.927325281432412</v>
      </c>
      <c r="H31" s="3">
        <f>Table11141618[[#This Row],[JUMLAH]]/4</f>
        <v>0.231831320358103</v>
      </c>
      <c r="I31" s="37">
        <f>Table11141618[[#This Row],[PRIORITAS]]*D23</f>
        <v>1.2827999726481698</v>
      </c>
    </row>
    <row r="32" spans="1:9" x14ac:dyDescent="0.3">
      <c r="B32" s="31" t="s">
        <v>43</v>
      </c>
      <c r="C32" s="34">
        <f>C21/$C$23</f>
        <v>0.1081081081081081</v>
      </c>
      <c r="D32" s="34">
        <f t="shared" ref="D32:D33" si="1">D21/$D$23</f>
        <v>6.0240963855421686E-2</v>
      </c>
      <c r="E32" s="34">
        <f t="shared" si="0"/>
        <v>9.6774193548387094E-2</v>
      </c>
      <c r="F32" s="34">
        <f>F21/$F$23</f>
        <v>0.17647058823529413</v>
      </c>
      <c r="G32" s="3">
        <f>SUM(C32:F32)</f>
        <v>0.44159385374721105</v>
      </c>
      <c r="H32" s="3">
        <f>Table11141618[[#This Row],[JUMLAH]]/4</f>
        <v>0.11039846343680276</v>
      </c>
      <c r="I32" s="35">
        <f>Table11141618[[#This Row],[PRIORITAS]]*E23</f>
        <v>1.1407841221802952</v>
      </c>
    </row>
    <row r="33" spans="2:9" x14ac:dyDescent="0.3">
      <c r="B33" s="32" t="s">
        <v>31</v>
      </c>
      <c r="C33" s="34">
        <f>C22/$C$23</f>
        <v>8.1081081081081072E-2</v>
      </c>
      <c r="D33" s="34">
        <f t="shared" si="1"/>
        <v>3.6144578313253017E-2</v>
      </c>
      <c r="E33" s="34">
        <f>E22/$E$23</f>
        <v>3.2258064516129031E-2</v>
      </c>
      <c r="F33" s="34">
        <f>F22/$F$23</f>
        <v>5.8823529411764705E-2</v>
      </c>
      <c r="G33" s="3">
        <f>SUM(C33:F33)</f>
        <v>0.20830725332222783</v>
      </c>
      <c r="H33" s="3">
        <f>Table11141618[[#This Row],[JUMLAH]]/4</f>
        <v>5.2076813330556956E-2</v>
      </c>
      <c r="I33" s="37">
        <f>Table11141618[[#This Row],[PRIORITAS]]*F23</f>
        <v>0.88530582661946822</v>
      </c>
    </row>
    <row r="34" spans="2:9" x14ac:dyDescent="0.3">
      <c r="B34" s="2"/>
      <c r="C34" s="3"/>
      <c r="D34" s="3"/>
      <c r="E34" s="3"/>
      <c r="F34" s="3"/>
      <c r="G34" s="3">
        <f>SUM(G30:G33)</f>
        <v>3.9999999999999991</v>
      </c>
      <c r="H34" s="3">
        <f>SUM(H30:H33)</f>
        <v>0.99999999999999978</v>
      </c>
      <c r="I34" s="35">
        <f>SUM(I30:I33)</f>
        <v>4.2426672508795118</v>
      </c>
    </row>
    <row r="35" spans="2:9" x14ac:dyDescent="0.3">
      <c r="E35" s="3"/>
      <c r="F35" s="3"/>
      <c r="G35" s="3"/>
    </row>
    <row r="36" spans="2:9" x14ac:dyDescent="0.3">
      <c r="B36" s="40" t="s">
        <v>17</v>
      </c>
      <c r="C36" s="13">
        <f>(I34-4)/(4-1)</f>
        <v>8.0889083626503933E-2</v>
      </c>
      <c r="E36" s="3"/>
      <c r="F36" s="3"/>
      <c r="G36" s="3"/>
    </row>
    <row r="37" spans="2:9" x14ac:dyDescent="0.3">
      <c r="B37" s="40" t="s">
        <v>18</v>
      </c>
      <c r="C37" s="13">
        <v>0.9</v>
      </c>
      <c r="E37" s="3"/>
      <c r="F37" s="3"/>
      <c r="G37" s="3"/>
    </row>
    <row r="38" spans="2:9" ht="20.399999999999999" thickBot="1" x14ac:dyDescent="0.45">
      <c r="B38" s="41" t="s">
        <v>19</v>
      </c>
      <c r="C38" s="42">
        <f>C36/C37</f>
        <v>8.9876759585004365E-2</v>
      </c>
      <c r="D38" s="11" t="str">
        <f>IF(C38&lt;=0.1, "KONSISTEN", "TIDAK KONSISTEN")</f>
        <v>KONSISTEN</v>
      </c>
      <c r="E38" s="3"/>
      <c r="F38" s="3"/>
      <c r="G38" s="3"/>
    </row>
    <row r="39" spans="2:9" ht="15" thickTop="1" x14ac:dyDescent="0.3">
      <c r="E39" s="3"/>
      <c r="F39" s="3"/>
      <c r="G39" s="3"/>
    </row>
    <row r="40" spans="2:9" x14ac:dyDescent="0.3">
      <c r="E40" s="3"/>
      <c r="F40" s="3"/>
    </row>
    <row r="41" spans="2:9" x14ac:dyDescent="0.3">
      <c r="G41" s="3"/>
    </row>
    <row r="42" spans="2:9" x14ac:dyDescent="0.3">
      <c r="G42" s="3"/>
    </row>
    <row r="43" spans="2:9" x14ac:dyDescent="0.3">
      <c r="G43" s="3"/>
    </row>
    <row r="44" spans="2:9" x14ac:dyDescent="0.3">
      <c r="G44" s="3"/>
    </row>
    <row r="45" spans="2:9" x14ac:dyDescent="0.3">
      <c r="G45" s="3"/>
    </row>
    <row r="46" spans="2:9" x14ac:dyDescent="0.3">
      <c r="G46" s="3"/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I46"/>
  <sheetViews>
    <sheetView topLeftCell="A7" workbookViewId="0">
      <selection activeCell="B19" sqref="B19:B22"/>
    </sheetView>
  </sheetViews>
  <sheetFormatPr defaultRowHeight="14.4" x14ac:dyDescent="0.3"/>
  <cols>
    <col min="2" max="2" width="19.44140625" customWidth="1"/>
    <col min="3" max="3" width="33.109375" customWidth="1"/>
    <col min="4" max="4" width="17.21875" customWidth="1"/>
    <col min="5" max="5" width="32.33203125" customWidth="1"/>
    <col min="6" max="6" width="16.44140625" customWidth="1"/>
  </cols>
  <sheetData>
    <row r="4" spans="1:2" x14ac:dyDescent="0.3">
      <c r="A4" s="1" t="s">
        <v>91</v>
      </c>
      <c r="B4" s="1" t="s">
        <v>1</v>
      </c>
    </row>
    <row r="17" spans="1:9" x14ac:dyDescent="0.3">
      <c r="B17" s="1" t="s">
        <v>2</v>
      </c>
    </row>
    <row r="18" spans="1:9" x14ac:dyDescent="0.3">
      <c r="B18" s="2" t="s">
        <v>3</v>
      </c>
      <c r="C18" s="2" t="s">
        <v>35</v>
      </c>
      <c r="D18" s="2" t="s">
        <v>37</v>
      </c>
      <c r="E18" s="2" t="s">
        <v>39</v>
      </c>
      <c r="F18" s="2" t="s">
        <v>31</v>
      </c>
      <c r="G18" s="2"/>
    </row>
    <row r="19" spans="1:9" x14ac:dyDescent="0.3">
      <c r="B19" s="2" t="s">
        <v>35</v>
      </c>
      <c r="C19" s="3">
        <v>1</v>
      </c>
      <c r="D19" s="3">
        <v>2</v>
      </c>
      <c r="E19" s="3">
        <v>5</v>
      </c>
      <c r="F19" s="3">
        <v>7</v>
      </c>
      <c r="G19" s="3"/>
    </row>
    <row r="20" spans="1:9" x14ac:dyDescent="0.3">
      <c r="B20" s="2" t="s">
        <v>37</v>
      </c>
      <c r="C20" s="3">
        <f>1/2</f>
        <v>0.5</v>
      </c>
      <c r="D20" s="3">
        <v>1</v>
      </c>
      <c r="E20" s="3">
        <v>4</v>
      </c>
      <c r="F20" s="3">
        <v>6</v>
      </c>
      <c r="G20" s="3"/>
    </row>
    <row r="21" spans="1:9" x14ac:dyDescent="0.3">
      <c r="B21" s="2" t="s">
        <v>39</v>
      </c>
      <c r="C21" s="3">
        <f>1/5</f>
        <v>0.2</v>
      </c>
      <c r="D21" s="3">
        <f>1/4</f>
        <v>0.25</v>
      </c>
      <c r="E21" s="3">
        <v>1</v>
      </c>
      <c r="F21" s="3">
        <v>4</v>
      </c>
      <c r="G21" s="3"/>
    </row>
    <row r="22" spans="1:9" x14ac:dyDescent="0.3">
      <c r="B22" s="2" t="s">
        <v>31</v>
      </c>
      <c r="C22" s="3">
        <f>1/7</f>
        <v>0.14285714285714285</v>
      </c>
      <c r="D22" s="3">
        <f>1/6</f>
        <v>0.16666666666666666</v>
      </c>
      <c r="E22" s="3">
        <f>1/4</f>
        <v>0.25</v>
      </c>
      <c r="F22" s="3">
        <v>1</v>
      </c>
      <c r="G22" s="3"/>
    </row>
    <row r="23" spans="1:9" x14ac:dyDescent="0.3">
      <c r="B23" s="5" t="s">
        <v>10</v>
      </c>
      <c r="C23" s="6">
        <f>SUM(C19:C22)</f>
        <v>1.8428571428571427</v>
      </c>
      <c r="D23" s="6">
        <f>SUM(D19:D22)</f>
        <v>3.4166666666666665</v>
      </c>
      <c r="E23" s="6">
        <f>SUM(E19:E22)</f>
        <v>10.25</v>
      </c>
      <c r="F23" s="6">
        <f>SUM(F19:F22)</f>
        <v>18</v>
      </c>
      <c r="G23" s="3"/>
    </row>
    <row r="24" spans="1:9" x14ac:dyDescent="0.3">
      <c r="G24" s="3"/>
    </row>
    <row r="25" spans="1:9" x14ac:dyDescent="0.3">
      <c r="G25" s="3"/>
    </row>
    <row r="26" spans="1:9" x14ac:dyDescent="0.3">
      <c r="A26" s="1" t="s">
        <v>11</v>
      </c>
      <c r="B26" s="5" t="s">
        <v>12</v>
      </c>
      <c r="C26" s="6"/>
      <c r="D26" s="6"/>
      <c r="E26" s="6"/>
      <c r="F26" s="6"/>
      <c r="G26" s="3"/>
    </row>
    <row r="27" spans="1:9" x14ac:dyDescent="0.3">
      <c r="B27" s="7"/>
      <c r="C27" s="6"/>
      <c r="D27" s="6"/>
      <c r="E27" s="6"/>
      <c r="F27" s="6"/>
      <c r="G27" s="3"/>
    </row>
    <row r="28" spans="1:9" x14ac:dyDescent="0.3">
      <c r="B28" s="5" t="s">
        <v>13</v>
      </c>
      <c r="C28" s="3"/>
      <c r="D28" s="3"/>
      <c r="E28" s="3"/>
      <c r="F28" s="3"/>
      <c r="G28" s="3"/>
    </row>
    <row r="29" spans="1:9" x14ac:dyDescent="0.3">
      <c r="B29" s="2" t="s">
        <v>3</v>
      </c>
      <c r="C29" s="31" t="s">
        <v>35</v>
      </c>
      <c r="D29" s="32" t="s">
        <v>37</v>
      </c>
      <c r="E29" s="31" t="s">
        <v>39</v>
      </c>
      <c r="F29" s="32" t="s">
        <v>31</v>
      </c>
      <c r="G29" s="2" t="s">
        <v>14</v>
      </c>
      <c r="H29" s="2" t="s">
        <v>15</v>
      </c>
      <c r="I29" s="39" t="s">
        <v>16</v>
      </c>
    </row>
    <row r="30" spans="1:9" x14ac:dyDescent="0.3">
      <c r="B30" s="31" t="s">
        <v>35</v>
      </c>
      <c r="C30" s="34">
        <f>C19/$C$23</f>
        <v>0.54263565891472876</v>
      </c>
      <c r="D30" s="34">
        <f>D19/$D$23</f>
        <v>0.58536585365853666</v>
      </c>
      <c r="E30" s="34">
        <f>E19/$E$23</f>
        <v>0.48780487804878048</v>
      </c>
      <c r="F30" s="34">
        <f>F19/$F$23</f>
        <v>0.3888888888888889</v>
      </c>
      <c r="G30" s="3">
        <f>SUM(C30:F30)</f>
        <v>2.0046952795109347</v>
      </c>
      <c r="H30" s="3">
        <f>Table111416[[#This Row],[JUMLAH]]/4</f>
        <v>0.50117381987773368</v>
      </c>
      <c r="I30" s="35">
        <f>Table111416[[#This Row],[PRIORITAS]]*C23</f>
        <v>0.92359175377468061</v>
      </c>
    </row>
    <row r="31" spans="1:9" x14ac:dyDescent="0.3">
      <c r="B31" s="32" t="s">
        <v>37</v>
      </c>
      <c r="C31" s="34">
        <f>C20/$C$23</f>
        <v>0.27131782945736438</v>
      </c>
      <c r="D31" s="34">
        <f>D20/$D$23</f>
        <v>0.29268292682926833</v>
      </c>
      <c r="E31" s="34">
        <f t="shared" ref="E31:E32" si="0">E20/$E$23</f>
        <v>0.3902439024390244</v>
      </c>
      <c r="F31" s="34">
        <f>F20/$F$23</f>
        <v>0.33333333333333331</v>
      </c>
      <c r="G31" s="3">
        <f>SUM(C31:F31)</f>
        <v>1.2875779920589905</v>
      </c>
      <c r="H31" s="3">
        <f>Table111416[[#This Row],[JUMLAH]]/4</f>
        <v>0.32189449801474762</v>
      </c>
      <c r="I31" s="37">
        <f>Table111416[[#This Row],[PRIORITAS]]*D23</f>
        <v>1.0998062015503876</v>
      </c>
    </row>
    <row r="32" spans="1:9" x14ac:dyDescent="0.3">
      <c r="B32" s="31" t="s">
        <v>39</v>
      </c>
      <c r="C32" s="34">
        <f>C21/$C$23</f>
        <v>0.10852713178294575</v>
      </c>
      <c r="D32" s="34">
        <f t="shared" ref="D32:D33" si="1">D21/$D$23</f>
        <v>7.3170731707317083E-2</v>
      </c>
      <c r="E32" s="34">
        <f t="shared" si="0"/>
        <v>9.7560975609756101E-2</v>
      </c>
      <c r="F32" s="34">
        <f>F21/$F$23</f>
        <v>0.22222222222222221</v>
      </c>
      <c r="G32" s="3">
        <f>SUM(C32:F32)</f>
        <v>0.50148106132224113</v>
      </c>
      <c r="H32" s="3">
        <f>Table111416[[#This Row],[JUMLAH]]/4</f>
        <v>0.12537026533056028</v>
      </c>
      <c r="I32" s="35">
        <f>Table111416[[#This Row],[PRIORITAS]]*E23</f>
        <v>1.2850452196382429</v>
      </c>
    </row>
    <row r="33" spans="2:9" x14ac:dyDescent="0.3">
      <c r="B33" s="32" t="s">
        <v>31</v>
      </c>
      <c r="C33" s="34">
        <f>C22/$C$23</f>
        <v>7.7519379844961239E-2</v>
      </c>
      <c r="D33" s="34">
        <f t="shared" si="1"/>
        <v>4.878048780487805E-2</v>
      </c>
      <c r="E33" s="34">
        <f>E22/$E$23</f>
        <v>2.4390243902439025E-2</v>
      </c>
      <c r="F33" s="34">
        <f>F22/$F$23</f>
        <v>5.5555555555555552E-2</v>
      </c>
      <c r="G33" s="3">
        <f>SUM(C33:F33)</f>
        <v>0.20624566710783387</v>
      </c>
      <c r="H33" s="3">
        <f>Table111416[[#This Row],[JUMLAH]]/4</f>
        <v>5.1561416776958469E-2</v>
      </c>
      <c r="I33" s="37">
        <f>Table111416[[#This Row],[PRIORITAS]]*F23</f>
        <v>0.92810550198525243</v>
      </c>
    </row>
    <row r="34" spans="2:9" x14ac:dyDescent="0.3">
      <c r="B34" s="2"/>
      <c r="C34" s="3"/>
      <c r="D34" s="3"/>
      <c r="E34" s="3"/>
      <c r="F34" s="3"/>
      <c r="G34" s="3">
        <f>SUM(G30:G33)</f>
        <v>4</v>
      </c>
      <c r="H34" s="3">
        <f>SUM(H30:H33)</f>
        <v>1</v>
      </c>
      <c r="I34" s="35">
        <f>SUM(I30:I33)</f>
        <v>4.2365486769485639</v>
      </c>
    </row>
    <row r="35" spans="2:9" x14ac:dyDescent="0.3">
      <c r="E35" s="3"/>
      <c r="F35" s="3"/>
      <c r="G35" s="3"/>
    </row>
    <row r="36" spans="2:9" x14ac:dyDescent="0.3">
      <c r="B36" s="40" t="s">
        <v>17</v>
      </c>
      <c r="C36" s="13">
        <f>(I34-4)/(4-1)</f>
        <v>7.8849558982854617E-2</v>
      </c>
      <c r="E36" s="3"/>
      <c r="F36" s="3"/>
      <c r="G36" s="3"/>
    </row>
    <row r="37" spans="2:9" x14ac:dyDescent="0.3">
      <c r="B37" s="40" t="s">
        <v>18</v>
      </c>
      <c r="C37" s="13">
        <v>0.9</v>
      </c>
      <c r="E37" s="3"/>
      <c r="F37" s="3"/>
      <c r="G37" s="3"/>
    </row>
    <row r="38" spans="2:9" ht="20.399999999999999" thickBot="1" x14ac:dyDescent="0.45">
      <c r="B38" s="41" t="s">
        <v>19</v>
      </c>
      <c r="C38" s="42">
        <f>C36/C37</f>
        <v>8.7610621092060678E-2</v>
      </c>
      <c r="D38" s="11" t="str">
        <f>IF(C38&lt;=0.1, "KONSISTEN", "TIDAK KONSISTEN")</f>
        <v>KONSISTEN</v>
      </c>
      <c r="E38" s="3"/>
      <c r="F38" s="3"/>
      <c r="G38" s="3"/>
    </row>
    <row r="39" spans="2:9" ht="15" thickTop="1" x14ac:dyDescent="0.3">
      <c r="E39" s="3"/>
      <c r="F39" s="3"/>
      <c r="G39" s="3"/>
    </row>
    <row r="40" spans="2:9" x14ac:dyDescent="0.3">
      <c r="E40" s="3"/>
      <c r="F40" s="3"/>
    </row>
    <row r="41" spans="2:9" x14ac:dyDescent="0.3">
      <c r="G41" s="3"/>
    </row>
    <row r="42" spans="2:9" x14ac:dyDescent="0.3">
      <c r="G42" s="3"/>
    </row>
    <row r="43" spans="2:9" x14ac:dyDescent="0.3">
      <c r="G43" s="3"/>
    </row>
    <row r="44" spans="2:9" x14ac:dyDescent="0.3">
      <c r="G44" s="3"/>
    </row>
    <row r="45" spans="2:9" x14ac:dyDescent="0.3">
      <c r="G45" s="3"/>
    </row>
    <row r="46" spans="2:9" x14ac:dyDescent="0.3">
      <c r="G46" s="3"/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45"/>
  <sheetViews>
    <sheetView topLeftCell="A7" workbookViewId="0">
      <selection activeCell="B19" sqref="B19:B21"/>
    </sheetView>
  </sheetViews>
  <sheetFormatPr defaultRowHeight="14.4" x14ac:dyDescent="0.3"/>
  <cols>
    <col min="2" max="2" width="24.21875" customWidth="1"/>
    <col min="3" max="3" width="24.6640625" customWidth="1"/>
    <col min="4" max="4" width="23.44140625" customWidth="1"/>
    <col min="5" max="5" width="24.33203125" customWidth="1"/>
    <col min="6" max="6" width="16.88671875" customWidth="1"/>
    <col min="7" max="7" width="15.5546875" customWidth="1"/>
    <col min="8" max="8" width="18.109375" customWidth="1"/>
  </cols>
  <sheetData>
    <row r="4" spans="1:2" x14ac:dyDescent="0.3">
      <c r="A4" s="1" t="s">
        <v>91</v>
      </c>
      <c r="B4" s="1" t="s">
        <v>1</v>
      </c>
    </row>
    <row r="17" spans="1:8" x14ac:dyDescent="0.3">
      <c r="B17" s="1" t="s">
        <v>2</v>
      </c>
    </row>
    <row r="18" spans="1:8" x14ac:dyDescent="0.3">
      <c r="B18" s="2" t="s">
        <v>3</v>
      </c>
      <c r="C18" s="2" t="s">
        <v>34</v>
      </c>
      <c r="D18" s="2" t="s">
        <v>36</v>
      </c>
      <c r="E18" s="2" t="s">
        <v>38</v>
      </c>
      <c r="F18" s="2"/>
    </row>
    <row r="19" spans="1:8" x14ac:dyDescent="0.3">
      <c r="B19" s="2" t="s">
        <v>34</v>
      </c>
      <c r="C19" s="3">
        <v>1</v>
      </c>
      <c r="D19" s="3">
        <v>5</v>
      </c>
      <c r="E19" s="3">
        <v>8</v>
      </c>
      <c r="F19" s="3"/>
    </row>
    <row r="20" spans="1:8" x14ac:dyDescent="0.3">
      <c r="B20" s="2" t="s">
        <v>36</v>
      </c>
      <c r="C20" s="3">
        <f>1/5</f>
        <v>0.2</v>
      </c>
      <c r="D20" s="3">
        <v>1</v>
      </c>
      <c r="E20" s="3">
        <v>4</v>
      </c>
      <c r="F20" s="3"/>
    </row>
    <row r="21" spans="1:8" x14ac:dyDescent="0.3">
      <c r="B21" s="2" t="s">
        <v>38</v>
      </c>
      <c r="C21" s="3">
        <f>1/8</f>
        <v>0.125</v>
      </c>
      <c r="D21" s="3">
        <f>1/4</f>
        <v>0.25</v>
      </c>
      <c r="E21" s="3">
        <v>1</v>
      </c>
      <c r="F21" s="3"/>
    </row>
    <row r="22" spans="1:8" x14ac:dyDescent="0.3">
      <c r="B22" s="5" t="s">
        <v>10</v>
      </c>
      <c r="C22" s="6">
        <f>SUM(C19:C21)</f>
        <v>1.325</v>
      </c>
      <c r="D22" s="6">
        <f>SUM(D19:D21)</f>
        <v>6.25</v>
      </c>
      <c r="E22" s="6">
        <f>SUM(E19:E21)</f>
        <v>13</v>
      </c>
      <c r="F22" s="3"/>
    </row>
    <row r="23" spans="1:8" x14ac:dyDescent="0.3">
      <c r="F23" s="3"/>
    </row>
    <row r="24" spans="1:8" x14ac:dyDescent="0.3">
      <c r="F24" s="3"/>
    </row>
    <row r="25" spans="1:8" x14ac:dyDescent="0.3">
      <c r="B25" s="5" t="s">
        <v>12</v>
      </c>
      <c r="C25" s="6"/>
      <c r="D25" s="6"/>
      <c r="E25" s="6"/>
      <c r="F25" s="3"/>
    </row>
    <row r="26" spans="1:8" x14ac:dyDescent="0.3">
      <c r="A26" s="1" t="s">
        <v>11</v>
      </c>
      <c r="B26" s="7"/>
      <c r="C26" s="6"/>
      <c r="D26" s="6"/>
      <c r="E26" s="6"/>
      <c r="F26" s="3"/>
    </row>
    <row r="27" spans="1:8" x14ac:dyDescent="0.3">
      <c r="B27" s="5" t="s">
        <v>13</v>
      </c>
      <c r="C27" s="3"/>
      <c r="D27" s="3"/>
      <c r="E27" s="3"/>
      <c r="F27" s="3"/>
    </row>
    <row r="28" spans="1:8" x14ac:dyDescent="0.3">
      <c r="B28" s="2" t="s">
        <v>3</v>
      </c>
      <c r="C28" s="31" t="s">
        <v>34</v>
      </c>
      <c r="D28" s="32" t="s">
        <v>36</v>
      </c>
      <c r="E28" s="31" t="s">
        <v>38</v>
      </c>
      <c r="F28" s="2" t="s">
        <v>14</v>
      </c>
      <c r="G28" s="2" t="s">
        <v>15</v>
      </c>
      <c r="H28" s="39" t="s">
        <v>16</v>
      </c>
    </row>
    <row r="29" spans="1:8" x14ac:dyDescent="0.3">
      <c r="B29" s="31" t="s">
        <v>34</v>
      </c>
      <c r="C29" s="34">
        <f>C19/$C$22</f>
        <v>0.75471698113207553</v>
      </c>
      <c r="D29" s="34">
        <f>D19/$D$22</f>
        <v>0.8</v>
      </c>
      <c r="E29" s="34">
        <f>E19/$E$22</f>
        <v>0.61538461538461542</v>
      </c>
      <c r="F29" s="3">
        <f>SUM(C29:E29)</f>
        <v>2.170101596516691</v>
      </c>
      <c r="G29" s="3">
        <f>Table1114161822[[#This Row],[JUMLAH]]/3</f>
        <v>0.723367198838897</v>
      </c>
      <c r="H29" s="35">
        <f>Table1114161822[[#This Row],[PRIORITAS]]*C22</f>
        <v>0.95846153846153848</v>
      </c>
    </row>
    <row r="30" spans="1:8" x14ac:dyDescent="0.3">
      <c r="B30" s="32" t="s">
        <v>36</v>
      </c>
      <c r="C30" s="34">
        <f>C20/$C$22</f>
        <v>0.15094339622641512</v>
      </c>
      <c r="D30" s="34">
        <f>D20/$D$22</f>
        <v>0.16</v>
      </c>
      <c r="E30" s="34">
        <f>E20/$E$22</f>
        <v>0.30769230769230771</v>
      </c>
      <c r="F30" s="3">
        <f>SUM(C30:E30)</f>
        <v>0.6186357039187228</v>
      </c>
      <c r="G30" s="3">
        <f>Table1114161822[[#This Row],[JUMLAH]]/3</f>
        <v>0.20621190130624092</v>
      </c>
      <c r="H30" s="37">
        <f>Table1114161822[[#This Row],[PRIORITAS]]*D22</f>
        <v>1.2888243831640058</v>
      </c>
    </row>
    <row r="31" spans="1:8" x14ac:dyDescent="0.3">
      <c r="B31" s="31" t="s">
        <v>38</v>
      </c>
      <c r="C31" s="34">
        <f>C21/$C$22</f>
        <v>9.4339622641509441E-2</v>
      </c>
      <c r="D31" s="34">
        <f>D21/$D$22</f>
        <v>0.04</v>
      </c>
      <c r="E31" s="34">
        <f>E21/$E$22</f>
        <v>7.6923076923076927E-2</v>
      </c>
      <c r="F31" s="3">
        <f t="shared" ref="F31" si="0">SUM(C31:E31)</f>
        <v>0.21126269956458638</v>
      </c>
      <c r="G31" s="3">
        <f>Table1114161822[[#This Row],[JUMLAH]]/3</f>
        <v>7.0420899854862121E-2</v>
      </c>
      <c r="H31" s="35">
        <f>Table1114161822[[#This Row],[PRIORITAS]]*E22</f>
        <v>0.91547169811320761</v>
      </c>
    </row>
    <row r="32" spans="1:8" x14ac:dyDescent="0.3">
      <c r="B32" s="2"/>
      <c r="C32" s="3"/>
      <c r="D32" s="3"/>
      <c r="E32" s="3"/>
      <c r="F32" s="3">
        <f>SUM(F29:F31)</f>
        <v>3</v>
      </c>
      <c r="G32" s="3">
        <f>SUM(G29:G31)</f>
        <v>1</v>
      </c>
      <c r="H32" s="35">
        <f>SUM(H29:H31)</f>
        <v>3.1627576197387519</v>
      </c>
    </row>
    <row r="33" spans="2:7" x14ac:dyDescent="0.3">
      <c r="E33" s="3"/>
      <c r="F33" s="3"/>
    </row>
    <row r="34" spans="2:7" x14ac:dyDescent="0.3">
      <c r="B34" s="40" t="s">
        <v>17</v>
      </c>
      <c r="C34" s="13">
        <f>(H32-3)/(3-1)</f>
        <v>8.1378809869375957E-2</v>
      </c>
      <c r="E34" s="3"/>
      <c r="F34" s="3"/>
      <c r="G34" s="3"/>
    </row>
    <row r="35" spans="2:7" x14ac:dyDescent="0.3">
      <c r="B35" s="40" t="s">
        <v>18</v>
      </c>
      <c r="C35" s="13">
        <v>0.9</v>
      </c>
      <c r="E35" s="3"/>
      <c r="G35" s="3"/>
    </row>
    <row r="36" spans="2:7" ht="20.399999999999999" thickBot="1" x14ac:dyDescent="0.45">
      <c r="B36" s="41" t="s">
        <v>19</v>
      </c>
      <c r="C36" s="42">
        <f>C34/C35</f>
        <v>9.0420899854862166E-2</v>
      </c>
      <c r="D36" s="11" t="str">
        <f>IF(C36&lt;=0.1, "KONSISTEN", "TIDAK KONSISTEN")</f>
        <v>KONSISTEN</v>
      </c>
      <c r="E36" s="3"/>
      <c r="G36" s="3"/>
    </row>
    <row r="37" spans="2:7" ht="15" thickTop="1" x14ac:dyDescent="0.3">
      <c r="E37" s="3"/>
      <c r="G37" s="3"/>
    </row>
    <row r="38" spans="2:7" x14ac:dyDescent="0.3">
      <c r="E38" s="3"/>
      <c r="G38" s="3"/>
    </row>
    <row r="40" spans="2:7" x14ac:dyDescent="0.3">
      <c r="G40" s="3"/>
    </row>
    <row r="41" spans="2:7" x14ac:dyDescent="0.3">
      <c r="G41" s="3"/>
    </row>
    <row r="42" spans="2:7" x14ac:dyDescent="0.3">
      <c r="G42" s="3"/>
    </row>
    <row r="43" spans="2:7" x14ac:dyDescent="0.3">
      <c r="G43" s="3"/>
    </row>
    <row r="44" spans="2:7" x14ac:dyDescent="0.3">
      <c r="G44" s="3"/>
    </row>
    <row r="45" spans="2:7" x14ac:dyDescent="0.3">
      <c r="G45" s="3"/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45"/>
  <sheetViews>
    <sheetView topLeftCell="A31" workbookViewId="0">
      <selection activeCell="B29" sqref="B29:B31"/>
    </sheetView>
  </sheetViews>
  <sheetFormatPr defaultRowHeight="14.4" x14ac:dyDescent="0.3"/>
  <cols>
    <col min="2" max="2" width="22.77734375" customWidth="1"/>
    <col min="3" max="3" width="32.44140625" customWidth="1"/>
    <col min="4" max="4" width="20.88671875" customWidth="1"/>
    <col min="5" max="5" width="34.21875" customWidth="1"/>
    <col min="6" max="6" width="13.5546875" customWidth="1"/>
    <col min="7" max="7" width="16.109375" customWidth="1"/>
    <col min="8" max="8" width="15.5546875" customWidth="1"/>
  </cols>
  <sheetData>
    <row r="4" spans="1:2" x14ac:dyDescent="0.3">
      <c r="A4" s="1" t="s">
        <v>91</v>
      </c>
      <c r="B4" s="1" t="s">
        <v>1</v>
      </c>
    </row>
    <row r="17" spans="1:8" x14ac:dyDescent="0.3">
      <c r="B17" s="1" t="s">
        <v>2</v>
      </c>
    </row>
    <row r="18" spans="1:8" x14ac:dyDescent="0.3">
      <c r="B18" s="2" t="s">
        <v>3</v>
      </c>
      <c r="C18" s="2" t="s">
        <v>34</v>
      </c>
      <c r="D18" s="2" t="s">
        <v>92</v>
      </c>
      <c r="E18" s="2" t="s">
        <v>93</v>
      </c>
      <c r="F18" s="2"/>
    </row>
    <row r="19" spans="1:8" x14ac:dyDescent="0.3">
      <c r="B19" s="2" t="s">
        <v>34</v>
      </c>
      <c r="C19" s="3">
        <v>1</v>
      </c>
      <c r="D19" s="3">
        <v>5</v>
      </c>
      <c r="E19" s="3">
        <v>8</v>
      </c>
      <c r="F19" s="3"/>
    </row>
    <row r="20" spans="1:8" x14ac:dyDescent="0.3">
      <c r="B20" s="2" t="s">
        <v>92</v>
      </c>
      <c r="C20" s="3">
        <f>1/5</f>
        <v>0.2</v>
      </c>
      <c r="D20" s="3">
        <v>1</v>
      </c>
      <c r="E20" s="3">
        <v>4</v>
      </c>
      <c r="F20" s="3"/>
    </row>
    <row r="21" spans="1:8" x14ac:dyDescent="0.3">
      <c r="B21" s="2" t="s">
        <v>93</v>
      </c>
      <c r="C21" s="3">
        <f>1/8</f>
        <v>0.125</v>
      </c>
      <c r="D21" s="3">
        <f>1/5</f>
        <v>0.2</v>
      </c>
      <c r="E21" s="3">
        <v>1</v>
      </c>
      <c r="F21" s="3"/>
    </row>
    <row r="22" spans="1:8" x14ac:dyDescent="0.3">
      <c r="B22" s="5" t="s">
        <v>10</v>
      </c>
      <c r="C22" s="6">
        <f>SUM(C19:C21)</f>
        <v>1.325</v>
      </c>
      <c r="D22" s="6">
        <f>SUM(D19:D21)</f>
        <v>6.2</v>
      </c>
      <c r="E22" s="6">
        <f>SUM(E19:E21)</f>
        <v>13</v>
      </c>
      <c r="F22" s="3"/>
    </row>
    <row r="23" spans="1:8" x14ac:dyDescent="0.3">
      <c r="F23" s="3"/>
    </row>
    <row r="24" spans="1:8" x14ac:dyDescent="0.3">
      <c r="F24" s="3"/>
    </row>
    <row r="25" spans="1:8" x14ac:dyDescent="0.3">
      <c r="B25" s="5" t="s">
        <v>12</v>
      </c>
      <c r="C25" s="6"/>
      <c r="D25" s="6"/>
      <c r="E25" s="6"/>
      <c r="F25" s="3"/>
    </row>
    <row r="26" spans="1:8" x14ac:dyDescent="0.3">
      <c r="A26" s="1" t="s">
        <v>11</v>
      </c>
      <c r="B26" s="7"/>
      <c r="C26" s="6"/>
      <c r="D26" s="6"/>
      <c r="E26" s="6"/>
      <c r="F26" s="3"/>
    </row>
    <row r="27" spans="1:8" x14ac:dyDescent="0.3">
      <c r="B27" s="5" t="s">
        <v>13</v>
      </c>
      <c r="C27" s="3"/>
      <c r="D27" s="3"/>
      <c r="E27" s="3"/>
      <c r="F27" s="3"/>
    </row>
    <row r="28" spans="1:8" x14ac:dyDescent="0.3">
      <c r="B28" s="2" t="s">
        <v>3</v>
      </c>
      <c r="C28" s="31" t="s">
        <v>34</v>
      </c>
      <c r="D28" s="32" t="s">
        <v>92</v>
      </c>
      <c r="E28" s="31" t="s">
        <v>93</v>
      </c>
      <c r="F28" s="2" t="s">
        <v>14</v>
      </c>
      <c r="G28" s="2" t="s">
        <v>15</v>
      </c>
      <c r="H28" s="39" t="s">
        <v>16</v>
      </c>
    </row>
    <row r="29" spans="1:8" x14ac:dyDescent="0.3">
      <c r="B29" s="31" t="s">
        <v>34</v>
      </c>
      <c r="C29" s="34">
        <f>C19/$C$22</f>
        <v>0.75471698113207553</v>
      </c>
      <c r="D29" s="34">
        <f>D19/$D$22</f>
        <v>0.80645161290322576</v>
      </c>
      <c r="E29" s="34">
        <f>E19/$E$22</f>
        <v>0.61538461538461542</v>
      </c>
      <c r="F29" s="3">
        <f>SUM(C29:E29)</f>
        <v>2.1765532094199167</v>
      </c>
      <c r="G29" s="3">
        <f>Table111416182224[[#This Row],[JUMLAH]]/3</f>
        <v>0.72551773647330553</v>
      </c>
      <c r="H29" s="35">
        <f>Table111416182224[[#This Row],[PRIORITAS]]*C22</f>
        <v>0.96131100082712984</v>
      </c>
    </row>
    <row r="30" spans="1:8" x14ac:dyDescent="0.3">
      <c r="B30" s="32" t="s">
        <v>92</v>
      </c>
      <c r="C30" s="34">
        <f>C20/$C$22</f>
        <v>0.15094339622641512</v>
      </c>
      <c r="D30" s="34">
        <f>D20/$D$22</f>
        <v>0.16129032258064516</v>
      </c>
      <c r="E30" s="34">
        <f>E20/$E$22</f>
        <v>0.30769230769230771</v>
      </c>
      <c r="F30" s="3">
        <f>SUM(C30:E30)</f>
        <v>0.61992602649936801</v>
      </c>
      <c r="G30" s="3">
        <f>Table111416182224[[#This Row],[JUMLAH]]/3</f>
        <v>0.20664200883312267</v>
      </c>
      <c r="H30" s="37">
        <f>Table111416182224[[#This Row],[PRIORITAS]]*D22</f>
        <v>1.2811804547653607</v>
      </c>
    </row>
    <row r="31" spans="1:8" x14ac:dyDescent="0.3">
      <c r="B31" s="31" t="s">
        <v>93</v>
      </c>
      <c r="C31" s="34">
        <f>C21/$C$22</f>
        <v>9.4339622641509441E-2</v>
      </c>
      <c r="D31" s="34">
        <f>D21/$D$22</f>
        <v>3.2258064516129031E-2</v>
      </c>
      <c r="E31" s="34">
        <f>E21/$E$22</f>
        <v>7.6923076923076927E-2</v>
      </c>
      <c r="F31" s="3">
        <f t="shared" ref="F31" si="0">SUM(C31:E31)</f>
        <v>0.2035207640807154</v>
      </c>
      <c r="G31" s="3">
        <f>Table111416182224[[#This Row],[JUMLAH]]/3</f>
        <v>6.78402546935718E-2</v>
      </c>
      <c r="H31" s="35">
        <f>Table111416182224[[#This Row],[PRIORITAS]]*E22</f>
        <v>0.8819233110164334</v>
      </c>
    </row>
    <row r="32" spans="1:8" x14ac:dyDescent="0.3">
      <c r="B32" s="2"/>
      <c r="C32" s="3"/>
      <c r="D32" s="3"/>
      <c r="E32" s="3"/>
      <c r="F32" s="3">
        <f>SUM(F29:F31)</f>
        <v>3</v>
      </c>
      <c r="G32" s="3">
        <f>SUM(G29:G31)</f>
        <v>1</v>
      </c>
      <c r="H32" s="35">
        <f>SUM(H29:H31)</f>
        <v>3.1244147666089241</v>
      </c>
    </row>
    <row r="33" spans="2:7" x14ac:dyDescent="0.3">
      <c r="E33" s="3"/>
      <c r="F33" s="3"/>
    </row>
    <row r="34" spans="2:7" x14ac:dyDescent="0.3">
      <c r="B34" s="40" t="s">
        <v>17</v>
      </c>
      <c r="C34" s="13">
        <f>(H32-3)/(3-1)</f>
        <v>6.2207383304462072E-2</v>
      </c>
      <c r="E34" s="3"/>
      <c r="F34" s="3"/>
      <c r="G34" s="3"/>
    </row>
    <row r="35" spans="2:7" x14ac:dyDescent="0.3">
      <c r="B35" s="40" t="s">
        <v>18</v>
      </c>
      <c r="C35" s="13">
        <v>0.9</v>
      </c>
      <c r="E35" s="3"/>
      <c r="G35" s="3"/>
    </row>
    <row r="36" spans="2:7" ht="20.399999999999999" thickBot="1" x14ac:dyDescent="0.45">
      <c r="B36" s="41" t="s">
        <v>19</v>
      </c>
      <c r="C36" s="42">
        <f>C34/C35</f>
        <v>6.9119314782735627E-2</v>
      </c>
      <c r="D36" s="11" t="str">
        <f>IF(C36&lt;=0.1, "KONSISTEN", "TIDAK KONSISTEN")</f>
        <v>KONSISTEN</v>
      </c>
      <c r="E36" s="3"/>
      <c r="G36" s="3"/>
    </row>
    <row r="37" spans="2:7" ht="15" thickTop="1" x14ac:dyDescent="0.3">
      <c r="E37" s="3"/>
      <c r="G37" s="3"/>
    </row>
    <row r="38" spans="2:7" x14ac:dyDescent="0.3">
      <c r="E38" s="3"/>
      <c r="G38" s="3"/>
    </row>
    <row r="40" spans="2:7" x14ac:dyDescent="0.3">
      <c r="G40" s="3"/>
    </row>
    <row r="41" spans="2:7" x14ac:dyDescent="0.3">
      <c r="G41" s="3"/>
    </row>
    <row r="42" spans="2:7" x14ac:dyDescent="0.3">
      <c r="G42" s="3"/>
    </row>
    <row r="43" spans="2:7" x14ac:dyDescent="0.3">
      <c r="G43" s="3"/>
    </row>
    <row r="44" spans="2:7" x14ac:dyDescent="0.3">
      <c r="G44" s="3"/>
    </row>
    <row r="45" spans="2:7" x14ac:dyDescent="0.3">
      <c r="G45" s="3"/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M51"/>
  <sheetViews>
    <sheetView topLeftCell="A28" workbookViewId="0">
      <selection activeCell="B37" sqref="B37:B44"/>
    </sheetView>
  </sheetViews>
  <sheetFormatPr defaultRowHeight="14.4" x14ac:dyDescent="0.3"/>
  <cols>
    <col min="2" max="2" width="23.6640625" customWidth="1"/>
    <col min="3" max="3" width="16" customWidth="1"/>
    <col min="4" max="4" width="26.21875" customWidth="1"/>
    <col min="5" max="5" width="18.77734375" customWidth="1"/>
    <col min="6" max="6" width="27.21875" customWidth="1"/>
    <col min="7" max="7" width="15.77734375" customWidth="1"/>
    <col min="8" max="8" width="27.77734375" customWidth="1"/>
    <col min="9" max="9" width="18.33203125" customWidth="1"/>
    <col min="10" max="10" width="28" customWidth="1"/>
    <col min="11" max="11" width="16.21875" customWidth="1"/>
    <col min="12" max="12" width="15.21875" customWidth="1"/>
    <col min="13" max="13" width="17.6640625" customWidth="1"/>
  </cols>
  <sheetData>
    <row r="5" spans="1:2" x14ac:dyDescent="0.3">
      <c r="A5" s="1" t="s">
        <v>0</v>
      </c>
      <c r="B5" s="1" t="s">
        <v>1</v>
      </c>
    </row>
    <row r="18" spans="2:12" x14ac:dyDescent="0.3">
      <c r="B18" s="1" t="s">
        <v>2</v>
      </c>
    </row>
    <row r="19" spans="2:12" x14ac:dyDescent="0.3">
      <c r="B19" s="2" t="s">
        <v>3</v>
      </c>
      <c r="C19" s="2" t="s">
        <v>45</v>
      </c>
      <c r="D19" s="2" t="s">
        <v>48</v>
      </c>
      <c r="E19" s="2" t="s">
        <v>94</v>
      </c>
      <c r="F19" s="2" t="s">
        <v>95</v>
      </c>
      <c r="G19" s="2" t="s">
        <v>57</v>
      </c>
      <c r="H19" s="2" t="s">
        <v>58</v>
      </c>
      <c r="I19" s="2" t="s">
        <v>59</v>
      </c>
      <c r="J19" s="2" t="s">
        <v>60</v>
      </c>
      <c r="K19" s="2"/>
    </row>
    <row r="20" spans="2:12" x14ac:dyDescent="0.3">
      <c r="B20" s="2" t="s">
        <v>45</v>
      </c>
      <c r="C20" s="3">
        <v>1</v>
      </c>
      <c r="D20" s="3">
        <v>2</v>
      </c>
      <c r="E20" s="3">
        <v>4</v>
      </c>
      <c r="F20" s="3">
        <v>5</v>
      </c>
      <c r="G20" s="3">
        <v>5</v>
      </c>
      <c r="H20" s="3">
        <v>6</v>
      </c>
      <c r="I20" s="3">
        <v>7</v>
      </c>
      <c r="J20" s="3">
        <v>9</v>
      </c>
      <c r="K20" s="3"/>
      <c r="L20" s="4"/>
    </row>
    <row r="21" spans="2:12" x14ac:dyDescent="0.3">
      <c r="B21" s="2" t="s">
        <v>48</v>
      </c>
      <c r="C21" s="3">
        <f>1/2</f>
        <v>0.5</v>
      </c>
      <c r="D21" s="3">
        <v>1</v>
      </c>
      <c r="E21" s="3">
        <v>2</v>
      </c>
      <c r="F21" s="3">
        <v>4</v>
      </c>
      <c r="G21" s="3">
        <v>5</v>
      </c>
      <c r="H21" s="3">
        <v>6</v>
      </c>
      <c r="I21" s="3">
        <v>7</v>
      </c>
      <c r="J21" s="3">
        <v>9</v>
      </c>
      <c r="K21" s="3"/>
      <c r="L21" s="4"/>
    </row>
    <row r="22" spans="2:12" x14ac:dyDescent="0.3">
      <c r="B22" s="2" t="s">
        <v>51</v>
      </c>
      <c r="C22" s="3">
        <f>1/4</f>
        <v>0.25</v>
      </c>
      <c r="D22" s="3">
        <f>1/2</f>
        <v>0.5</v>
      </c>
      <c r="E22" s="3">
        <v>1</v>
      </c>
      <c r="F22" s="3">
        <v>2</v>
      </c>
      <c r="G22" s="3">
        <v>4</v>
      </c>
      <c r="H22" s="3">
        <v>5</v>
      </c>
      <c r="I22" s="3">
        <v>6</v>
      </c>
      <c r="J22" s="3">
        <v>8</v>
      </c>
      <c r="K22" s="3"/>
      <c r="L22" s="4"/>
    </row>
    <row r="23" spans="2:12" x14ac:dyDescent="0.3">
      <c r="B23" s="2" t="s">
        <v>54</v>
      </c>
      <c r="C23" s="3">
        <f>1/5</f>
        <v>0.2</v>
      </c>
      <c r="D23" s="3">
        <f>1/4</f>
        <v>0.25</v>
      </c>
      <c r="E23" s="3">
        <f>1/2</f>
        <v>0.5</v>
      </c>
      <c r="F23" s="3">
        <v>1</v>
      </c>
      <c r="G23" s="3">
        <v>2</v>
      </c>
      <c r="H23" s="3">
        <v>5</v>
      </c>
      <c r="I23" s="3">
        <v>7</v>
      </c>
      <c r="J23" s="3">
        <v>8</v>
      </c>
      <c r="K23" s="3"/>
      <c r="L23" s="4"/>
    </row>
    <row r="24" spans="2:12" x14ac:dyDescent="0.3">
      <c r="B24" s="2" t="s">
        <v>57</v>
      </c>
      <c r="C24" s="3">
        <f>1/5</f>
        <v>0.2</v>
      </c>
      <c r="D24" s="3">
        <f>1/5</f>
        <v>0.2</v>
      </c>
      <c r="E24" s="3">
        <f>1/4</f>
        <v>0.25</v>
      </c>
      <c r="F24" s="3">
        <f>1/2</f>
        <v>0.5</v>
      </c>
      <c r="G24" s="3">
        <v>1</v>
      </c>
      <c r="H24" s="3">
        <v>2</v>
      </c>
      <c r="I24" s="3">
        <v>5</v>
      </c>
      <c r="J24" s="3">
        <v>6</v>
      </c>
      <c r="K24" s="3"/>
      <c r="L24" s="4"/>
    </row>
    <row r="25" spans="2:12" x14ac:dyDescent="0.3">
      <c r="B25" s="2" t="s">
        <v>58</v>
      </c>
      <c r="C25" s="3">
        <f>1/6</f>
        <v>0.16666666666666666</v>
      </c>
      <c r="D25" s="3">
        <f>1/6</f>
        <v>0.16666666666666666</v>
      </c>
      <c r="E25" s="3">
        <f>1/5</f>
        <v>0.2</v>
      </c>
      <c r="F25" s="3">
        <f>1/5</f>
        <v>0.2</v>
      </c>
      <c r="G25" s="3">
        <f>1/2</f>
        <v>0.5</v>
      </c>
      <c r="H25" s="3">
        <v>1</v>
      </c>
      <c r="I25" s="3">
        <v>2</v>
      </c>
      <c r="J25" s="3">
        <v>3</v>
      </c>
      <c r="K25" s="3"/>
      <c r="L25" s="4"/>
    </row>
    <row r="26" spans="2:12" x14ac:dyDescent="0.3">
      <c r="B26" s="2" t="s">
        <v>59</v>
      </c>
      <c r="C26" s="3">
        <f>1/7</f>
        <v>0.14285714285714285</v>
      </c>
      <c r="D26" s="3">
        <f>1/7</f>
        <v>0.14285714285714285</v>
      </c>
      <c r="E26" s="3">
        <f>1/6</f>
        <v>0.16666666666666666</v>
      </c>
      <c r="F26" s="3">
        <f>1/7</f>
        <v>0.14285714285714285</v>
      </c>
      <c r="G26" s="3">
        <f>1/5</f>
        <v>0.2</v>
      </c>
      <c r="H26" s="3">
        <f>1/2</f>
        <v>0.5</v>
      </c>
      <c r="I26" s="3">
        <v>1</v>
      </c>
      <c r="J26" s="3">
        <v>2</v>
      </c>
      <c r="K26" s="3"/>
      <c r="L26" s="4"/>
    </row>
    <row r="27" spans="2:12" x14ac:dyDescent="0.3">
      <c r="B27" s="2" t="s">
        <v>60</v>
      </c>
      <c r="C27" s="3">
        <f>1/9</f>
        <v>0.1111111111111111</v>
      </c>
      <c r="D27" s="3">
        <f>1/9</f>
        <v>0.1111111111111111</v>
      </c>
      <c r="E27" s="3">
        <f>1/8</f>
        <v>0.125</v>
      </c>
      <c r="F27" s="3">
        <f>1/8</f>
        <v>0.125</v>
      </c>
      <c r="G27" s="3">
        <f>1/6</f>
        <v>0.16666666666666666</v>
      </c>
      <c r="H27" s="3">
        <f>1/3</f>
        <v>0.33333333333333331</v>
      </c>
      <c r="I27" s="3">
        <f>1/2</f>
        <v>0.5</v>
      </c>
      <c r="J27" s="3">
        <v>1</v>
      </c>
      <c r="K27" s="3"/>
      <c r="L27" s="4"/>
    </row>
    <row r="28" spans="2:12" x14ac:dyDescent="0.3">
      <c r="B28" s="5" t="s">
        <v>10</v>
      </c>
      <c r="C28" s="6">
        <f>SUM(C20:C27)</f>
        <v>2.5706349206349204</v>
      </c>
      <c r="D28" s="6">
        <f t="shared" ref="D28:H28" si="0">SUM(D20:D27)</f>
        <v>4.3706349206349211</v>
      </c>
      <c r="E28" s="6">
        <f t="shared" si="0"/>
        <v>8.2416666666666671</v>
      </c>
      <c r="F28" s="6">
        <f t="shared" si="0"/>
        <v>12.967857142857142</v>
      </c>
      <c r="G28" s="6">
        <f t="shared" si="0"/>
        <v>17.866666666666667</v>
      </c>
      <c r="H28" s="6">
        <f t="shared" si="0"/>
        <v>25.833333333333332</v>
      </c>
      <c r="I28" s="6">
        <f>SUM(I20:I27)</f>
        <v>35.5</v>
      </c>
      <c r="J28" s="43">
        <f>SUM(J20:J27)</f>
        <v>46</v>
      </c>
      <c r="K28" s="3"/>
      <c r="L28" s="4"/>
    </row>
    <row r="29" spans="2:12" x14ac:dyDescent="0.3">
      <c r="B29" s="2"/>
      <c r="C29" s="3"/>
      <c r="D29" s="3"/>
      <c r="E29" s="3"/>
      <c r="F29" s="3"/>
      <c r="G29" s="3"/>
      <c r="H29" s="3"/>
      <c r="I29" s="44"/>
      <c r="J29" s="44"/>
      <c r="K29" s="3"/>
      <c r="L29" s="4"/>
    </row>
    <row r="30" spans="2:12" x14ac:dyDescent="0.3">
      <c r="B30" s="2"/>
      <c r="C30" s="3"/>
      <c r="D30" s="3"/>
      <c r="E30" s="3"/>
      <c r="F30" s="3"/>
      <c r="G30" s="3"/>
      <c r="H30" s="3"/>
      <c r="I30" s="44"/>
      <c r="J30" s="44"/>
      <c r="K30" s="6"/>
      <c r="L30" s="4"/>
    </row>
    <row r="31" spans="2:12" x14ac:dyDescent="0.3">
      <c r="I31" s="43"/>
      <c r="J31" s="43"/>
      <c r="K31" s="6"/>
      <c r="L31" s="4"/>
    </row>
    <row r="32" spans="2:12" x14ac:dyDescent="0.3">
      <c r="I32" s="43"/>
      <c r="J32" s="43"/>
      <c r="K32" s="6"/>
      <c r="L32" s="4"/>
    </row>
    <row r="33" spans="1:13" x14ac:dyDescent="0.3">
      <c r="A33" s="1" t="s">
        <v>11</v>
      </c>
      <c r="B33" s="5" t="s">
        <v>12</v>
      </c>
      <c r="C33" s="6"/>
      <c r="D33" s="6"/>
      <c r="E33" s="6"/>
      <c r="F33" s="6"/>
      <c r="G33" s="6"/>
      <c r="H33" s="6"/>
      <c r="I33" s="43"/>
      <c r="J33" s="43"/>
      <c r="K33" s="6"/>
      <c r="L33" s="4"/>
    </row>
    <row r="34" spans="1:13" x14ac:dyDescent="0.3">
      <c r="B34" s="7"/>
      <c r="C34" s="6"/>
      <c r="D34" s="6"/>
      <c r="E34" s="6"/>
      <c r="F34" s="6"/>
      <c r="G34" s="6"/>
      <c r="H34" s="6"/>
      <c r="I34" s="43"/>
      <c r="J34" s="43"/>
      <c r="K34" s="6"/>
      <c r="L34" s="4"/>
    </row>
    <row r="35" spans="1:13" x14ac:dyDescent="0.3">
      <c r="B35" s="5" t="s">
        <v>13</v>
      </c>
      <c r="C35" s="3"/>
      <c r="D35" s="3"/>
      <c r="E35" s="3"/>
      <c r="F35" s="3"/>
      <c r="G35" s="3"/>
      <c r="H35" s="3"/>
      <c r="I35" s="44"/>
      <c r="J35" s="44"/>
    </row>
    <row r="36" spans="1:13" x14ac:dyDescent="0.3">
      <c r="B36" s="2" t="s">
        <v>3</v>
      </c>
      <c r="C36" s="2" t="s">
        <v>45</v>
      </c>
      <c r="D36" s="2" t="s">
        <v>48</v>
      </c>
      <c r="E36" s="2" t="s">
        <v>94</v>
      </c>
      <c r="F36" s="2" t="s">
        <v>95</v>
      </c>
      <c r="G36" s="2" t="s">
        <v>57</v>
      </c>
      <c r="H36" s="2" t="s">
        <v>58</v>
      </c>
      <c r="I36" s="2" t="s">
        <v>59</v>
      </c>
      <c r="J36" s="2" t="s">
        <v>96</v>
      </c>
      <c r="K36" s="38" t="s">
        <v>14</v>
      </c>
      <c r="L36" s="38" t="s">
        <v>15</v>
      </c>
      <c r="M36" s="39" t="s">
        <v>16</v>
      </c>
    </row>
    <row r="37" spans="1:13" x14ac:dyDescent="0.3">
      <c r="B37" s="2" t="s">
        <v>45</v>
      </c>
      <c r="C37" s="3">
        <f>C20/$C$28</f>
        <v>0.38900895338067309</v>
      </c>
      <c r="D37" s="3">
        <f>D20/$D$28</f>
        <v>0.45759941892137274</v>
      </c>
      <c r="E37" s="3">
        <f>E20/$E$28</f>
        <v>0.48533872598584427</v>
      </c>
      <c r="F37" s="3">
        <f>F20/$F$28</f>
        <v>0.38556871385293312</v>
      </c>
      <c r="G37" s="3">
        <f>G20/$G$28</f>
        <v>0.27985074626865669</v>
      </c>
      <c r="H37" s="3">
        <f>H20/$H$28</f>
        <v>0.23225806451612904</v>
      </c>
      <c r="I37" s="3">
        <f>I20/$I$28</f>
        <v>0.19718309859154928</v>
      </c>
      <c r="J37" s="3">
        <f>J20/$J$28</f>
        <v>0.19565217391304349</v>
      </c>
      <c r="K37" s="34">
        <f>SUM(Table4734[[#This Row],[Hadir 100%]:[Hadir &lt; 80 %Aada terlambat]])</f>
        <v>2.6224598954302021</v>
      </c>
      <c r="L37" s="34">
        <f>Table4734[[#This Row],[JUMLAH]]/8</f>
        <v>0.32780748692877526</v>
      </c>
      <c r="M37" s="35">
        <f>Table4734[[#This Row],[PRIORITAS]]*C28</f>
        <v>0.84267337314468493</v>
      </c>
    </row>
    <row r="38" spans="1:13" x14ac:dyDescent="0.3">
      <c r="B38" s="2" t="s">
        <v>48</v>
      </c>
      <c r="C38" s="3">
        <f>C21/$C$28</f>
        <v>0.19450447669033655</v>
      </c>
      <c r="D38" s="3">
        <f t="shared" ref="D38:D45" si="1">D21/$D$28</f>
        <v>0.22879970946068637</v>
      </c>
      <c r="E38" s="3">
        <f t="shared" ref="E38:E45" si="2">E21/$E$28</f>
        <v>0.24266936299292213</v>
      </c>
      <c r="F38" s="3">
        <f t="shared" ref="F38:F44" si="3">F21/$F$28</f>
        <v>0.30845497108234649</v>
      </c>
      <c r="G38" s="3">
        <f t="shared" ref="G38:G44" si="4">G21/$G$28</f>
        <v>0.27985074626865669</v>
      </c>
      <c r="H38" s="3">
        <f t="shared" ref="H38:H44" si="5">H21/$H$28</f>
        <v>0.23225806451612904</v>
      </c>
      <c r="I38" s="3">
        <f t="shared" ref="I38:I44" si="6">I21/$I$28</f>
        <v>0.19718309859154928</v>
      </c>
      <c r="J38" s="3">
        <f t="shared" ref="J38:J44" si="7">J21/$J$28</f>
        <v>0.19565217391304349</v>
      </c>
      <c r="K38" s="34">
        <f>SUM(Table4734[[#This Row],[Hadir 100%]:[Hadir &lt; 80 %Aada terlambat]])</f>
        <v>1.8793726035156699</v>
      </c>
      <c r="L38" s="34">
        <f>Table4734[[#This Row],[JUMLAH]]/8</f>
        <v>0.23492157543945874</v>
      </c>
      <c r="M38" s="35">
        <f>Table4734[[#This Row],[PRIORITAS]]*D28</f>
        <v>1.0267564412262693</v>
      </c>
    </row>
    <row r="39" spans="1:13" x14ac:dyDescent="0.3">
      <c r="B39" s="2" t="s">
        <v>51</v>
      </c>
      <c r="C39" s="3">
        <f t="shared" ref="C39:C43" si="8">C22/$C$28</f>
        <v>9.7252238345168274E-2</v>
      </c>
      <c r="D39" s="3">
        <f t="shared" si="1"/>
        <v>0.11439985473034318</v>
      </c>
      <c r="E39" s="3">
        <f t="shared" si="2"/>
        <v>0.12133468149646107</v>
      </c>
      <c r="F39" s="3">
        <f t="shared" si="3"/>
        <v>0.15422748554117324</v>
      </c>
      <c r="G39" s="3">
        <f t="shared" si="4"/>
        <v>0.22388059701492538</v>
      </c>
      <c r="H39" s="3">
        <f t="shared" si="5"/>
        <v>0.19354838709677422</v>
      </c>
      <c r="I39" s="3">
        <f t="shared" si="6"/>
        <v>0.16901408450704225</v>
      </c>
      <c r="J39" s="3">
        <f t="shared" si="7"/>
        <v>0.17391304347826086</v>
      </c>
      <c r="K39" s="34">
        <f>SUM(Table4734[[#This Row],[Hadir 100%]:[Hadir &lt; 80 %Aada terlambat]])</f>
        <v>1.2475703722101485</v>
      </c>
      <c r="L39" s="34">
        <f>Table4734[[#This Row],[JUMLAH]]/8</f>
        <v>0.15594629652626857</v>
      </c>
      <c r="M39" s="35">
        <f>Table4734[[#This Row],[PRIORITAS]]*E28</f>
        <v>1.2852573938706635</v>
      </c>
    </row>
    <row r="40" spans="1:13" x14ac:dyDescent="0.3">
      <c r="B40" s="2" t="s">
        <v>54</v>
      </c>
      <c r="C40" s="3">
        <f t="shared" si="8"/>
        <v>7.7801790676134616E-2</v>
      </c>
      <c r="D40" s="3">
        <f t="shared" si="1"/>
        <v>5.7199927365171592E-2</v>
      </c>
      <c r="E40" s="3">
        <f t="shared" si="2"/>
        <v>6.0667340748230533E-2</v>
      </c>
      <c r="F40" s="3">
        <f t="shared" si="3"/>
        <v>7.7113742770586621E-2</v>
      </c>
      <c r="G40" s="3">
        <f t="shared" si="4"/>
        <v>0.11194029850746269</v>
      </c>
      <c r="H40" s="3">
        <f t="shared" si="5"/>
        <v>0.19354838709677422</v>
      </c>
      <c r="I40" s="3">
        <f t="shared" si="6"/>
        <v>0.19718309859154928</v>
      </c>
      <c r="J40" s="3">
        <f t="shared" si="7"/>
        <v>0.17391304347826086</v>
      </c>
      <c r="K40" s="34">
        <f>SUM(Table4734[[#This Row],[Hadir 100%]:[Hadir &lt; 80 %Aada terlambat]])</f>
        <v>0.9493676292341704</v>
      </c>
      <c r="L40" s="34">
        <f>Table4734[[#This Row],[JUMLAH]]/8</f>
        <v>0.1186709536542713</v>
      </c>
      <c r="M40" s="35">
        <f>Table4734[[#This Row],[PRIORITAS]]*F28</f>
        <v>1.538907973995211</v>
      </c>
    </row>
    <row r="41" spans="1:13" x14ac:dyDescent="0.3">
      <c r="B41" s="2" t="s">
        <v>57</v>
      </c>
      <c r="C41" s="3">
        <f t="shared" si="8"/>
        <v>7.7801790676134616E-2</v>
      </c>
      <c r="D41" s="3">
        <f t="shared" si="1"/>
        <v>4.5759941892137279E-2</v>
      </c>
      <c r="E41" s="3">
        <f t="shared" si="2"/>
        <v>3.0333670374115267E-2</v>
      </c>
      <c r="F41" s="3">
        <f t="shared" si="3"/>
        <v>3.8556871385293311E-2</v>
      </c>
      <c r="G41" s="3">
        <f t="shared" si="4"/>
        <v>5.5970149253731345E-2</v>
      </c>
      <c r="H41" s="3">
        <f t="shared" si="5"/>
        <v>7.7419354838709681E-2</v>
      </c>
      <c r="I41" s="3">
        <f t="shared" si="6"/>
        <v>0.14084507042253522</v>
      </c>
      <c r="J41" s="3">
        <f t="shared" si="7"/>
        <v>0.13043478260869565</v>
      </c>
      <c r="K41" s="34">
        <f>SUM(Table4734[[#This Row],[Hadir 100%]:[Hadir &lt; 80 %Aada terlambat]])</f>
        <v>0.59712163145135244</v>
      </c>
      <c r="L41" s="34">
        <f>Table4734[[#This Row],[JUMLAH]]/8</f>
        <v>7.4640203931419055E-2</v>
      </c>
      <c r="M41" s="35">
        <f>Table4734[[#This Row],[PRIORITAS]]*G28</f>
        <v>1.3335716435746872</v>
      </c>
    </row>
    <row r="42" spans="1:13" x14ac:dyDescent="0.3">
      <c r="B42" s="2" t="s">
        <v>58</v>
      </c>
      <c r="C42" s="3">
        <f t="shared" si="8"/>
        <v>6.4834825563445511E-2</v>
      </c>
      <c r="D42" s="3">
        <f t="shared" si="1"/>
        <v>3.8133284910114397E-2</v>
      </c>
      <c r="E42" s="3">
        <f t="shared" si="2"/>
        <v>2.4266936299292215E-2</v>
      </c>
      <c r="F42" s="3">
        <f t="shared" si="3"/>
        <v>1.5422748554117325E-2</v>
      </c>
      <c r="G42" s="3">
        <f t="shared" si="4"/>
        <v>2.7985074626865673E-2</v>
      </c>
      <c r="H42" s="3">
        <f t="shared" si="5"/>
        <v>3.870967741935484E-2</v>
      </c>
      <c r="I42" s="3">
        <f t="shared" si="6"/>
        <v>5.6338028169014086E-2</v>
      </c>
      <c r="J42" s="3">
        <f t="shared" si="7"/>
        <v>6.5217391304347824E-2</v>
      </c>
      <c r="K42" s="34">
        <f>SUM(Table4734[[#This Row],[Hadir 100%]:[Hadir &lt; 80 %Aada terlambat]])</f>
        <v>0.33090796684655188</v>
      </c>
      <c r="L42" s="34">
        <f>Table4734[[#This Row],[JUMLAH]]/8</f>
        <v>4.1363495855818985E-2</v>
      </c>
      <c r="M42" s="35">
        <f>Table4734[[#This Row],[PRIORITAS]]*H28</f>
        <v>1.0685569762753238</v>
      </c>
    </row>
    <row r="43" spans="1:13" x14ac:dyDescent="0.3">
      <c r="B43" s="2" t="s">
        <v>59</v>
      </c>
      <c r="C43" s="3">
        <f t="shared" si="8"/>
        <v>5.5572707625810437E-2</v>
      </c>
      <c r="D43" s="3">
        <f>D26/$D$28</f>
        <v>3.2685672780098055E-2</v>
      </c>
      <c r="E43" s="3">
        <f t="shared" si="2"/>
        <v>2.0222446916076844E-2</v>
      </c>
      <c r="F43" s="3">
        <f t="shared" si="3"/>
        <v>1.1016248967226659E-2</v>
      </c>
      <c r="G43" s="3">
        <f t="shared" si="4"/>
        <v>1.119402985074627E-2</v>
      </c>
      <c r="H43" s="3">
        <f t="shared" si="5"/>
        <v>1.935483870967742E-2</v>
      </c>
      <c r="I43" s="3">
        <f t="shared" si="6"/>
        <v>2.8169014084507043E-2</v>
      </c>
      <c r="J43" s="3">
        <f t="shared" si="7"/>
        <v>4.3478260869565216E-2</v>
      </c>
      <c r="K43" s="34">
        <f>SUM(Table4734[[#This Row],[Hadir 100%]:[Hadir &lt; 80 %Aada terlambat]])</f>
        <v>0.22169321980370793</v>
      </c>
      <c r="L43" s="34">
        <f>Table4734[[#This Row],[JUMLAH]]/8</f>
        <v>2.7711652475463491E-2</v>
      </c>
      <c r="M43" s="35">
        <f>Table4734[[#This Row],[PRIORITAS]]*I28</f>
        <v>0.98376366287895389</v>
      </c>
    </row>
    <row r="44" spans="1:13" x14ac:dyDescent="0.3">
      <c r="B44" s="2" t="s">
        <v>60</v>
      </c>
      <c r="C44" s="3">
        <f>C27/$C$28</f>
        <v>4.3223217042297007E-2</v>
      </c>
      <c r="D44" s="3">
        <f t="shared" si="1"/>
        <v>2.5422189940076261E-2</v>
      </c>
      <c r="E44" s="3">
        <f t="shared" si="2"/>
        <v>1.5166835187057633E-2</v>
      </c>
      <c r="F44" s="3">
        <f t="shared" si="3"/>
        <v>9.6392178463233277E-3</v>
      </c>
      <c r="G44" s="3">
        <f t="shared" si="4"/>
        <v>9.3283582089552231E-3</v>
      </c>
      <c r="H44" s="3">
        <f t="shared" si="5"/>
        <v>1.2903225806451613E-2</v>
      </c>
      <c r="I44" s="3">
        <f t="shared" si="6"/>
        <v>1.4084507042253521E-2</v>
      </c>
      <c r="J44" s="3">
        <f t="shared" si="7"/>
        <v>2.1739130434782608E-2</v>
      </c>
      <c r="K44" s="34">
        <f>SUM(Table4734[[#This Row],[Hadir 100%]:[Hadir &lt; 80 %Aada terlambat]])</f>
        <v>0.15150668150819718</v>
      </c>
      <c r="L44" s="36">
        <f>Table4734[[#This Row],[JUMLAH]]/8</f>
        <v>1.8938335188524648E-2</v>
      </c>
      <c r="M44" s="37">
        <f>Table4734[[#This Row],[PRIORITAS]]*J28</f>
        <v>0.87116341867213376</v>
      </c>
    </row>
    <row r="45" spans="1:13" x14ac:dyDescent="0.3">
      <c r="B45" s="45" t="s">
        <v>10</v>
      </c>
      <c r="C45" s="3">
        <f>SUM(C37:C44)</f>
        <v>1</v>
      </c>
      <c r="D45" s="3">
        <f t="shared" si="1"/>
        <v>1</v>
      </c>
      <c r="E45" s="3">
        <f t="shared" si="2"/>
        <v>1</v>
      </c>
      <c r="F45" s="3">
        <f>SUM(F37:F44)</f>
        <v>1</v>
      </c>
      <c r="G45" s="3">
        <f>SUM(G37:G44)</f>
        <v>1</v>
      </c>
      <c r="H45" s="3">
        <f>SUM(H37:H44)</f>
        <v>1</v>
      </c>
      <c r="I45" s="3"/>
      <c r="J45" s="3"/>
      <c r="K45" s="34">
        <f>SUM(K37:K44)</f>
        <v>7.9999999999999991</v>
      </c>
      <c r="L45" s="34">
        <f>SUM(L37:L44)</f>
        <v>0.99999999999999989</v>
      </c>
      <c r="M45" s="35">
        <f>SUM(M37:M44)</f>
        <v>8.9506508836379268</v>
      </c>
    </row>
    <row r="48" spans="1:13" x14ac:dyDescent="0.3">
      <c r="B48" s="8" t="s">
        <v>17</v>
      </c>
      <c r="C48" s="9">
        <f>(M45-8)/(8-1)</f>
        <v>0.13580726909113242</v>
      </c>
    </row>
    <row r="49" spans="2:4" x14ac:dyDescent="0.3">
      <c r="B49" s="8" t="s">
        <v>18</v>
      </c>
      <c r="C49" s="9">
        <v>1.41</v>
      </c>
    </row>
    <row r="50" spans="2:4" ht="20.399999999999999" thickBot="1" x14ac:dyDescent="0.45">
      <c r="B50" s="8" t="s">
        <v>19</v>
      </c>
      <c r="C50" s="10">
        <f>C48/C49</f>
        <v>9.631721212137051E-2</v>
      </c>
      <c r="D50" s="11" t="str">
        <f>IF(C50&lt;=0.1, "KONSISTEN", "TIDAK KONSISTEN")</f>
        <v>KONSISTEN</v>
      </c>
    </row>
    <row r="51" spans="2:4" ht="15" thickTop="1" x14ac:dyDescent="0.3"/>
  </sheetData>
  <pageMargins left="0.7" right="0.7" top="0.75" bottom="0.75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NILAI KRITERIA</vt:lpstr>
      <vt:lpstr>Leadership</vt:lpstr>
      <vt:lpstr>Productivity</vt:lpstr>
      <vt:lpstr>Kemampuan pemecahan masalah</vt:lpstr>
      <vt:lpstr>Realisasi SOPSPK</vt:lpstr>
      <vt:lpstr>Dokumentasi</vt:lpstr>
      <vt:lpstr>Pelaksanaan 5R</vt:lpstr>
      <vt:lpstr>Pelaksanaan K3</vt:lpstr>
      <vt:lpstr>Kehadiran</vt:lpstr>
      <vt:lpstr>Kedisipilinan</vt:lpstr>
      <vt:lpstr>Inisiatif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2022-04-04T04:05:18Z</dcterms:created>
  <dcterms:modified xsi:type="dcterms:W3CDTF">2022-04-28T00:14:00Z</dcterms:modified>
</cp:coreProperties>
</file>